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autoCompressPictures="0"/>
  <mc:AlternateContent xmlns:mc="http://schemas.openxmlformats.org/markup-compatibility/2006">
    <mc:Choice Requires="x15">
      <x15ac:absPath xmlns:x15ac="http://schemas.microsoft.com/office/spreadsheetml/2010/11/ac" url="P:\MJ\Compliance\"/>
    </mc:Choice>
  </mc:AlternateContent>
  <xr:revisionPtr revIDLastSave="0" documentId="13_ncr:1_{EF0406F7-B405-48F9-9351-82A59F8DE62A}"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3270" yWindow="1470" windowWidth="25140" windowHeight="151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X5"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5" i="5"/>
  <c r="T6" i="5"/>
  <c r="C9" i="6" l="1"/>
  <c r="C11" i="6"/>
  <c r="C10"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R7" i="5"/>
  <c r="H17" i="5"/>
  <c r="I17" i="5"/>
  <c r="J17" i="5"/>
  <c r="R17" i="5"/>
  <c r="F17" i="5"/>
  <c r="E17" i="5"/>
  <c r="G66" i="6"/>
  <c r="H66" i="6" s="1"/>
  <c r="C66" i="6" s="1"/>
  <c r="G67" i="6"/>
  <c r="H67" i="6" s="1"/>
  <c r="D67" i="6" s="1"/>
  <c r="G65" i="6"/>
  <c r="H65" i="6" s="1"/>
  <c r="C65" i="6" s="1"/>
  <c r="E12" i="5"/>
  <c r="I12" i="5"/>
  <c r="J12" i="5"/>
  <c r="R12" i="5"/>
  <c r="F12" i="5"/>
  <c r="H12" i="5"/>
  <c r="H9" i="5"/>
  <c r="J9" i="5"/>
  <c r="E9" i="5"/>
  <c r="I9" i="5"/>
  <c r="R9" i="5"/>
  <c r="F9" i="5"/>
  <c r="R8" i="5"/>
  <c r="G9" i="5"/>
  <c r="G10"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11" i="5"/>
  <c r="T9" i="5"/>
  <c r="T8" i="5"/>
  <c r="T7"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9" i="5"/>
  <c r="S7"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<sst xmlns="http://schemas.openxmlformats.org/spreadsheetml/2006/main" count="21997" uniqueCount="15612">
  <si>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</si>
  <si>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</si>
  <si>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</si>
  <si>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</si>
  <si>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</si>
  <si>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</si>
  <si>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</si>
  <si>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</si>
  <si>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</si>
  <si>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</si>
  <si>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</si>
  <si>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</si>
  <si>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</si>
  <si>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</si>
  <si>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</si>
  <si>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</si>
  <si>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</si>
  <si>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</si>
  <si>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</si>
  <si>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</si>
  <si>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</si>
  <si>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</si>
  <si>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</si>
  <si>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</si>
  <si>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</si>
  <si>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</si>
  <si>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</si>
  <si>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</si>
  <si>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</si>
  <si>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</si>
  <si>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</si>
  <si>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</si>
  <si>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</si>
  <si>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</si>
  <si>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</si>
  <si>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</si>
  <si>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</si>
  <si>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</si>
  <si>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</si>
  <si>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</si>
  <si>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</si>
  <si>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</si>
  <si>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</si>
  <si>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</si>
  <si>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</si>
  <si>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</si>
  <si>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</si>
  <si>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</si>
  <si>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</si>
  <si>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</si>
  <si>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</si>
  <si>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</si>
  <si>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</si>
  <si>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</si>
  <si>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</si>
  <si>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</si>
  <si>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</si>
  <si>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</si>
  <si>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</si>
  <si>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</si>
  <si>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</si>
  <si>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</si>
  <si>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</si>
  <si>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</si>
  <si>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</si>
  <si>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</si>
  <si>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</si>
  <si>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</si>
  <si>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</si>
  <si>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</si>
  <si>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</si>
  <si>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</si>
  <si>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</si>
  <si>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</si>
  <si>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</si>
  <si>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</si>
  <si>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</si>
  <si>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</si>
  <si>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</si>
  <si>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</si>
  <si>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</si>
  <si>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</si>
  <si>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</si>
  <si>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</si>
  <si>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</si>
  <si>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</si>
  <si>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</si>
  <si>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</si>
  <si>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</si>
  <si>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</si>
  <si>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</si>
  <si>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</si>
  <si>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</si>
  <si>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</si>
  <si>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</si>
  <si>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</si>
  <si>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</si>
  <si>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</si>
  <si>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</si>
  <si>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</si>
  <si>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</si>
  <si>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</si>
  <si>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</si>
  <si>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</si>
  <si>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</si>
  <si>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</si>
  <si>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</si>
  <si>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</si>
  <si>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</si>
  <si>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</si>
  <si>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</si>
  <si>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</si>
  <si>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</si>
  <si>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</si>
  <si>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</si>
  <si>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</si>
  <si>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</si>
  <si>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</si>
  <si>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</si>
  <si>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</si>
  <si>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</si>
  <si>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</si>
  <si>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</si>
  <si>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</si>
  <si>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</si>
  <si>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</si>
  <si>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</si>
  <si>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</si>
  <si>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</si>
  <si>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</si>
  <si>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</si>
  <si>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</si>
  <si>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</si>
  <si>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</si>
  <si>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</si>
  <si>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</si>
  <si>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</si>
  <si>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</si>
  <si>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</si>
  <si>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</si>
  <si>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</si>
  <si>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</si>
  <si>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</si>
  <si>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</si>
  <si>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</si>
  <si>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</si>
  <si>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</si>
  <si>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</si>
  <si>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</si>
  <si>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</si>
  <si>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</si>
  <si>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</si>
  <si>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</si>
  <si>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</si>
  <si>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</si>
  <si>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</si>
  <si>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</si>
  <si>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</si>
  <si>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</si>
  <si>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</si>
  <si>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</si>
  <si>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</si>
  <si>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</si>
  <si>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</si>
  <si>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</si>
  <si>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</si>
  <si>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</si>
  <si>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</si>
  <si>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</si>
  <si>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</si>
  <si>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</si>
  <si>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</si>
  <si>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</si>
  <si>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</si>
  <si>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</si>
  <si>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</si>
  <si>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</si>
  <si>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</si>
  <si>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</si>
  <si>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</si>
  <si>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</si>
  <si>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</si>
  <si>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</si>
  <si>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</si>
  <si>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</si>
  <si>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</si>
  <si>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</si>
  <si>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</si>
  <si>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</si>
  <si>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</si>
  <si>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</si>
  <si>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</si>
  <si>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</si>
  <si>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</si>
  <si>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</si>
  <si>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</si>
  <si>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</si>
  <si>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</si>
  <si>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</si>
  <si>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</si>
  <si>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</si>
  <si>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</si>
  <si>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</si>
  <si>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</si>
  <si>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</si>
  <si>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</si>
  <si>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</si>
  <si>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</si>
  <si>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</si>
  <si>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</si>
  <si>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</si>
  <si>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</si>
  <si>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</si>
  <si>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</si>
  <si>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</si>
  <si>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</si>
  <si>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</si>
  <si>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</si>
  <si>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</si>
  <si>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</si>
  <si>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</si>
  <si>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</si>
  <si>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</si>
  <si>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</si>
  <si>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</si>
  <si>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</si>
  <si>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</si>
  <si>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</si>
  <si>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</si>
  <si>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</si>
  <si>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</si>
  <si>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</si>
  <si>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</si>
  <si>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</si>
  <si>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</si>
  <si>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</si>
  <si>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</si>
  <si>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</si>
  <si>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</si>
  <si>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</si>
  <si>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</si>
  <si>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</si>
  <si>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</si>
  <si>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</si>
  <si>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</si>
  <si>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</si>
  <si>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</si>
  <si>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</si>
  <si>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</si>
  <si>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</si>
  <si>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</si>
  <si>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</si>
  <si>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</si>
  <si>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</si>
  <si>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</si>
  <si>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</si>
  <si>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</si>
  <si>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</si>
  <si>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</si>
  <si>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</si>
  <si>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</si>
  <si>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</si>
  <si>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</si>
  <si>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</si>
  <si>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</si>
  <si>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</si>
  <si>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</si>
  <si>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</si>
  <si>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</si>
  <si>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</si>
  <si>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</si>
  <si>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</si>
  <si>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</si>
  <si>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</si>
  <si>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</si>
  <si>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</si>
  <si>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</si>
  <si>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</si>
  <si>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</si>
  <si>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</si>
  <si>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</si>
  <si>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</si>
  <si>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</si>
  <si>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</si>
  <si>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</si>
  <si>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</si>
  <si>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</si>
  <si>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</si>
  <si>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</si>
  <si>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</si>
  <si>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</si>
  <si>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</si>
  <si>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</si>
  <si>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</si>
  <si>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</si>
  <si>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</si>
  <si>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</si>
  <si>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</si>
  <si>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</si>
  <si>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</si>
  <si>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</si>
  <si>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</si>
  <si>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</si>
  <si>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</si>
  <si>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</si>
  <si>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</si>
  <si>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</si>
  <si>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</si>
  <si>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</si>
  <si>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</si>
  <si>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</si>
  <si>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</si>
  <si>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</si>
  <si>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</si>
  <si>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</si>
  <si>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</si>
  <si>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</si>
  <si>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</si>
  <si>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</si>
  <si>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</si>
  <si>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</si>
  <si>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</si>
  <si>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</si>
  <si>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</si>
  <si>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</si>
  <si>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</si>
  <si>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</si>
  <si>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</si>
  <si>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</si>
  <si>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</si>
  <si>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</si>
  <si>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</si>
  <si>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</si>
  <si>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</si>
  <si>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</si>
  <si>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</si>
  <si>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</si>
  <si>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</si>
  <si>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</si>
  <si>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</si>
  <si>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</si>
  <si>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</si>
  <si>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</si>
  <si>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</si>
  <si>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</si>
  <si>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</si>
  <si>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</si>
  <si>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</si>
  <si>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</si>
  <si>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</si>
  <si>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</si>
  <si>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</si>
  <si>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</si>
  <si>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</si>
  <si>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</si>
  <si>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</si>
  <si>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</si>
  <si>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</si>
  <si>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</si>
  <si>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</si>
  <si>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</si>
  <si>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</si>
  <si>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</si>
  <si>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</si>
  <si>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</si>
  <si>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</si>
  <si>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</si>
  <si>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</si>
  <si>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</si>
  <si>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</si>
  <si>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</si>
  <si>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</si>
  <si>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</si>
  <si>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</si>
  <si>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</si>
  <si>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</si>
  <si>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</si>
  <si>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</si>
  <si>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</si>
  <si>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</si>
  <si>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</si>
  <si>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</si>
  <si>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</si>
  <si>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</si>
  <si>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</si>
  <si>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</si>
  <si>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</si>
  <si>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</si>
  <si>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</si>
  <si>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</si>
  <si>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</si>
  <si>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</si>
  <si>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</si>
  <si>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</si>
  <si>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</si>
  <si>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</si>
  <si>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</si>
  <si>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</si>
  <si>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</si>
  <si>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</si>
  <si>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</si>
  <si>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</si>
  <si>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</si>
  <si>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</si>
  <si>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</si>
  <si>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</si>
  <si>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</si>
  <si>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</si>
  <si>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</si>
  <si>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</si>
  <si>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</si>
  <si>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</si>
  <si>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</si>
  <si>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</si>
  <si>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</si>
  <si>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</si>
  <si>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</si>
  <si>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</si>
  <si>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</si>
  <si>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</si>
  <si>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</si>
  <si>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</si>
  <si>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</si>
  <si>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</si>
  <si>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</si>
  <si>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</si>
  <si>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</si>
  <si>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</si>
  <si>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</si>
  <si>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</si>
  <si>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</si>
  <si>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</si>
  <si>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</si>
  <si>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</si>
  <si>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</si>
  <si>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</si>
  <si>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</si>
  <si>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</si>
  <si>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</si>
  <si>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</si>
  <si>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</si>
  <si>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</si>
  <si>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</si>
  <si>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</si>
  <si>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</si>
  <si>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</si>
  <si>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</si>
  <si>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</si>
  <si>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</si>
  <si>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</si>
  <si>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</si>
  <si>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</si>
  <si>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</si>
  <si>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</si>
  <si>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</si>
  <si>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</si>
  <si>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</si>
  <si>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</si>
  <si>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</si>
  <si>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</si>
  <si>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</si>
  <si>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</si>
  <si>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</si>
  <si>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</si>
  <si>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</si>
  <si>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</si>
  <si>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</si>
  <si>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</si>
  <si>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</si>
  <si>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</si>
  <si>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</si>
  <si>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</si>
  <si>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</si>
  <si>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</si>
  <si>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</si>
  <si>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</si>
  <si>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</si>
  <si>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</si>
  <si>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</si>
  <si>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</si>
  <si>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</si>
  <si>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</si>
  <si>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</si>
  <si>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</si>
  <si>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</si>
  <si>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</si>
  <si>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</si>
  <si>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</si>
  <si>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</si>
  <si>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</si>
  <si>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</si>
  <si>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</si>
  <si>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</si>
  <si>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</si>
  <si>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</si>
  <si>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</si>
  <si>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</si>
  <si>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</si>
  <si>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</si>
  <si>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</si>
  <si>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</si>
  <si>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</si>
  <si>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</si>
  <si>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</si>
  <si>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</si>
  <si>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</si>
  <si>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</si>
  <si>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</si>
  <si>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</si>
  <si>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</si>
  <si>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</si>
  <si>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</si>
  <si>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</si>
  <si>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</si>
  <si>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</si>
  <si>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</si>
  <si>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</si>
  <si>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</si>
  <si>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</si>
  <si>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</si>
  <si>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</si>
  <si>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</si>
  <si>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</si>
  <si>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</si>
  <si>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</si>
  <si>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</si>
  <si>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</si>
  <si>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</si>
  <si>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</si>
  <si>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</si>
  <si>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</si>
  <si>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</si>
  <si>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</si>
  <si>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</si>
  <si>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</si>
  <si>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</si>
  <si>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</si>
  <si>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</si>
  <si>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</si>
  <si>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</si>
  <si>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</si>
  <si>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</si>
  <si>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</si>
  <si>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</si>
  <si>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</si>
  <si>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</si>
  <si>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</si>
  <si>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</si>
  <si>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</si>
  <si>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</si>
  <si>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</si>
  <si>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</si>
  <si>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</si>
  <si>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</si>
  <si>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</si>
  <si>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</si>
  <si>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</si>
  <si>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</si>
  <si>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</si>
  <si>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</si>
  <si>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</si>
  <si>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</si>
  <si>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</si>
  <si>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</si>
  <si>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</si>
  <si>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</si>
  <si>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</si>
  <si>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</si>
  <si>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</si>
  <si>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</si>
  <si>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</si>
  <si>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</si>
  <si>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</si>
  <si>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</si>
  <si>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</si>
  <si>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</si>
  <si>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</si>
  <si>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</si>
  <si>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</si>
  <si>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</si>
  <si>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</si>
  <si>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</si>
  <si>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</si>
  <si>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</si>
  <si>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</si>
  <si>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</si>
  <si>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</si>
  <si>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</si>
  <si>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</si>
  <si>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</si>
  <si>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</si>
  <si>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</si>
  <si>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</si>
  <si>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</si>
  <si>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</si>
  <si>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</si>
  <si>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</si>
  <si>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</si>
  <si>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</si>
  <si>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</si>
  <si>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</si>
  <si>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</si>
  <si>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</si>
  <si>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</si>
  <si>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</si>
  <si>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</si>
  <si>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</si>
  <si>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</si>
  <si>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</si>
  <si>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</si>
  <si>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</si>
  <si>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</si>
  <si>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</si>
  <si>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</si>
  <si>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</si>
  <si>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</si>
  <si>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</si>
  <si>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</si>
  <si>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</si>
  <si>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</si>
  <si>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</si>
  <si>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</si>
  <si>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</si>
  <si>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</si>
  <si>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</si>
  <si>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</si>
  <si>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</si>
  <si>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</si>
  <si>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</si>
  <si>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</si>
  <si>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</si>
  <si>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</si>
  <si>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</si>
  <si>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</si>
  <si>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</si>
  <si>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</si>
  <si>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</si>
  <si>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</si>
  <si>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</si>
  <si>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</si>
  <si>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</si>
  <si>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</si>
  <si>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</si>
  <si>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</si>
  <si>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</si>
  <si>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</si>
  <si>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</si>
  <si>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</si>
  <si>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</si>
  <si>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</si>
  <si>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</si>
  <si>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</si>
  <si>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</si>
  <si>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</si>
  <si>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</si>
  <si>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</si>
  <si>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</si>
  <si>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</si>
  <si>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</si>
  <si>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</si>
  <si>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</si>
  <si>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</si>
  <si>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</si>
  <si>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</si>
  <si>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</si>
  <si>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</si>
  <si>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</si>
  <si>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</si>
  <si>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</si>
  <si>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</si>
  <si>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</si>
  <si>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</si>
  <si>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</si>
  <si>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</si>
  <si>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</si>
  <si>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</si>
  <si>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</si>
  <si>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</si>
  <si>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</si>
  <si>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</si>
  <si>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</si>
  <si>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</si>
  <si>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</si>
  <si>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</si>
  <si>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</si>
  <si>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</si>
  <si>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</si>
  <si>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</si>
  <si>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</si>
  <si>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</si>
  <si>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</si>
  <si>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</si>
  <si>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</si>
  <si>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</si>
  <si>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</si>
  <si>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</si>
  <si>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</si>
  <si>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</si>
  <si>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</si>
  <si>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</si>
  <si>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</si>
  <si>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</si>
  <si>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</si>
  <si>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</si>
  <si>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</si>
  <si>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</si>
  <si>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</si>
  <si>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</si>
  <si>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</si>
  <si>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</si>
  <si>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</si>
  <si>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</si>
  <si>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</si>
  <si>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</si>
  <si>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</si>
  <si>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</si>
  <si>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</si>
  <si>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</si>
  <si>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</si>
  <si>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</si>
  <si>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</si>
  <si>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</si>
  <si>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</si>
  <si>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</si>
  <si>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</si>
  <si>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</si>
  <si>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</si>
  <si>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</si>
  <si>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</si>
  <si>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</si>
  <si>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</si>
  <si>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</si>
  <si>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</si>
  <si>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</si>
  <si>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</si>
  <si>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</si>
  <si>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</si>
  <si>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</si>
  <si>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</si>
  <si>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</si>
  <si>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</si>
  <si>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</si>
  <si>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</si>
  <si>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</si>
  <si>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</si>
  <si>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</si>
  <si>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</si>
  <si>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</si>
  <si>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</si>
  <si>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</si>
  <si>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</si>
  <si>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</si>
  <si>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</si>
  <si>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</si>
  <si>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</si>
  <si>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</si>
  <si>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</si>
  <si>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</si>
  <si>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</si>
  <si>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</si>
  <si>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</si>
  <si>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</si>
  <si>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</si>
  <si>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</si>
  <si>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</si>
  <si>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</si>
  <si>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</si>
  <si>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</si>
  <si>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</si>
  <si>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</si>
  <si>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</si>
  <si>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</si>
  <si>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</si>
  <si>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</si>
  <si>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</si>
  <si>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</si>
  <si>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</si>
  <si>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</si>
  <si>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</si>
  <si>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</si>
  <si>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</si>
  <si>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</si>
  <si>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</si>
  <si>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</si>
  <si>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</si>
  <si>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</si>
  <si>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</si>
  <si>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</si>
  <si>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</si>
  <si>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</si>
  <si>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</si>
  <si>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</si>
  <si>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</si>
  <si>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</si>
  <si>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</si>
  <si>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</si>
  <si>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</si>
  <si>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</si>
  <si>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</si>
  <si>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</si>
  <si>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</si>
  <si>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</si>
  <si>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</si>
  <si>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</si>
  <si>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</si>
  <si>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</si>
  <si>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</si>
  <si>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</si>
  <si>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</si>
  <si>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</si>
  <si>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</si>
  <si>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</si>
  <si>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</si>
  <si>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</si>
  <si>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</si>
  <si>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</si>
  <si>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</si>
  <si>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</si>
  <si>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</si>
  <si>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</si>
  <si>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</si>
  <si>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</si>
  <si>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</si>
  <si>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</si>
  <si>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</si>
  <si>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</si>
  <si>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</si>
  <si>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</si>
  <si>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</si>
  <si>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</si>
  <si>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</si>
  <si>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</si>
  <si>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</si>
  <si>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</si>
  <si>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</si>
  <si>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</si>
  <si>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</si>
  <si>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</si>
  <si>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</si>
  <si>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</si>
  <si>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</si>
  <si>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</si>
  <si>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</si>
  <si>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</si>
  <si>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</si>
  <si>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</si>
  <si>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</si>
  <si>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</si>
  <si>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</si>
  <si>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</si>
  <si>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</si>
  <si>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</si>
  <si>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</si>
  <si>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</si>
  <si>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</si>
  <si>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</si>
  <si>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</si>
  <si>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</si>
  <si>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</si>
  <si>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</si>
  <si>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</si>
  <si>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</si>
  <si>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</si>
  <si>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</si>
  <si>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</si>
  <si>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</si>
  <si>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</si>
  <si>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</si>
  <si>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</si>
  <si>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</si>
  <si>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</si>
  <si>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</si>
  <si>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</si>
  <si>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</si>
  <si>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</si>
  <si>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</si>
  <si>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</si>
  <si>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</si>
  <si>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</si>
  <si>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</si>
  <si>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</si>
  <si>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</si>
  <si>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</si>
  <si>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</si>
  <si>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</si>
  <si>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</si>
  <si>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</si>
  <si>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</si>
  <si>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</si>
  <si>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</si>
  <si>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</si>
  <si>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</si>
  <si>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</si>
  <si>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</si>
  <si>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</si>
  <si>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</si>
  <si>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</si>
  <si>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</si>
  <si>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</si>
  <si>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</si>
  <si>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</si>
  <si>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</si>
  <si>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</si>
  <si>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</si>
  <si>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</si>
  <si>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</si>
  <si>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</si>
  <si>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</si>
  <si>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</si>
  <si>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</si>
  <si>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</si>
  <si>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</si>
  <si>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</si>
  <si>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</si>
  <si>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</si>
  <si>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</si>
  <si>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</si>
  <si>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</si>
  <si>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</si>
  <si>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</si>
  <si>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</si>
  <si>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</si>
  <si>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</si>
  <si>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</si>
  <si>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</si>
  <si>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</si>
  <si>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</si>
  <si>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</si>
  <si>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</si>
  <si>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</si>
  <si>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</si>
  <si>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</si>
  <si>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</si>
  <si>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</si>
  <si>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</si>
  <si>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</si>
  <si>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</si>
  <si>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</si>
  <si>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</si>
  <si>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</si>
  <si>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</si>
  <si>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</si>
  <si>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</si>
  <si>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</si>
  <si>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</si>
  <si>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</si>
  <si>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</si>
  <si>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</si>
  <si>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</si>
  <si>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</si>
  <si>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</si>
  <si>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</si>
  <si>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</si>
  <si>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</si>
  <si>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</si>
  <si>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</si>
  <si>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</si>
  <si>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</si>
  <si>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</si>
  <si>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</si>
  <si>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</si>
  <si>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</si>
  <si>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</si>
  <si>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</si>
  <si>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</si>
  <si>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</si>
  <si>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</si>
  <si>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</si>
  <si>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</si>
  <si>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</si>
  <si>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</si>
  <si>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</si>
  <si>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</si>
  <si>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</si>
  <si>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</si>
  <si>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</si>
  <si>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</si>
  <si>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</si>
  <si>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</si>
  <si>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</si>
  <si>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</si>
  <si>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</si>
  <si>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</si>
  <si>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</si>
  <si>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</si>
  <si>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</si>
  <si>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</si>
  <si>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</si>
  <si>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</si>
  <si>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</si>
  <si>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</si>
  <si>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</si>
  <si>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</si>
  <si>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</si>
  <si>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</si>
  <si>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</si>
  <si>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</si>
  <si>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</si>
  <si>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</si>
  <si>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</si>
  <si>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</si>
  <si>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</si>
  <si>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</si>
  <si>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</si>
  <si>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</si>
  <si>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</si>
  <si>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</si>
  <si>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</si>
  <si>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</si>
  <si>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</si>
  <si>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</si>
  <si>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</si>
  <si>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</si>
  <si>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</si>
  <si>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</si>
  <si>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</si>
  <si>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</si>
  <si>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</si>
  <si>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</si>
  <si>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</si>
  <si>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</si>
  <si>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</si>
  <si>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</si>
  <si>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</si>
  <si>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</si>
  <si>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</si>
  <si>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</si>
  <si>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</si>
  <si>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</si>
  <si>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</si>
  <si>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</si>
  <si>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</si>
  <si>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</si>
  <si>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</si>
  <si>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</si>
  <si>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</si>
  <si>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</si>
  <si>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</si>
  <si>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</si>
  <si>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</si>
  <si>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</si>
  <si>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</si>
  <si>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</si>
  <si>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</si>
  <si>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</si>
  <si>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</si>
  <si>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</si>
  <si>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</si>
  <si>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</si>
  <si>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</si>
  <si>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</si>
  <si>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</si>
  <si>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</si>
  <si>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</si>
  <si>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</si>
  <si>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</si>
  <si>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</si>
  <si>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</si>
  <si>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</si>
  <si>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</si>
  <si>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</si>
  <si>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</si>
  <si>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</si>
  <si>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</si>
  <si>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</si>
  <si>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</si>
  <si>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</si>
  <si>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</si>
  <si>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</si>
  <si>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</si>
  <si>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</si>
  <si>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</si>
  <si>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</si>
  <si>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</si>
  <si>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</si>
  <si>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</si>
  <si>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</si>
  <si>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</si>
  <si>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</si>
  <si>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</si>
  <si>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</si>
  <si>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</si>
  <si>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</si>
  <si>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</si>
  <si>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</si>
  <si>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</si>
  <si>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</si>
  <si>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</si>
  <si>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</si>
  <si>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</si>
  <si>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</si>
  <si>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</si>
  <si>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</si>
  <si>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</si>
  <si>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</si>
  <si>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</si>
  <si>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</si>
  <si>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</si>
  <si>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</si>
  <si>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</si>
  <si>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</si>
  <si>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</si>
  <si>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</si>
  <si>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</si>
  <si>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</si>
  <si>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</si>
  <si>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</si>
  <si>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</si>
  <si>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</si>
  <si>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</si>
  <si>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</si>
  <si>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</si>
  <si>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</si>
  <si>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</si>
  <si>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</si>
  <si>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</si>
  <si>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</si>
  <si>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</si>
  <si>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</si>
  <si>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</si>
  <si>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</si>
  <si>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</si>
  <si>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</si>
  <si>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</si>
  <si>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</si>
  <si>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</si>
  <si>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</si>
  <si>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</si>
  <si>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</si>
  <si>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</si>
  <si>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</si>
  <si>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</si>
  <si>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</si>
  <si>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</si>
  <si>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</si>
  <si>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</si>
  <si>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</si>
  <si>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</si>
  <si>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</si>
  <si>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</si>
  <si>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</si>
  <si>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</si>
  <si>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</si>
  <si>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</si>
  <si>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</si>
  <si>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</si>
  <si>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</si>
  <si>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</si>
  <si>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</si>
  <si>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</si>
  <si>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</si>
  <si>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</si>
  <si>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</si>
  <si>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</si>
  <si>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</si>
  <si>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</si>
  <si>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</si>
  <si>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</si>
  <si>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</si>
  <si>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</si>
  <si>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</si>
  <si>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</si>
  <si>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</si>
  <si>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</si>
  <si>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</si>
  <si>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</si>
  <si>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</si>
  <si>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</si>
  <si>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</si>
  <si>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</si>
  <si>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</si>
  <si>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</si>
  <si>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</si>
  <si>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</si>
  <si>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</si>
  <si>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</si>
  <si>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</si>
  <si>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</si>
  <si>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</si>
  <si>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</si>
  <si>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</si>
  <si>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</si>
  <si>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</si>
  <si>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</si>
  <si>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</si>
  <si>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</si>
  <si>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</si>
  <si>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</si>
  <si>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</si>
  <si>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</si>
  <si>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</si>
  <si>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</si>
  <si>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</si>
  <si>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</si>
  <si>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</si>
  <si>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</si>
  <si>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</si>
  <si>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</si>
  <si>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</si>
  <si>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</si>
  <si>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</si>
  <si>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</si>
  <si>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</si>
  <si>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</si>
  <si>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</si>
  <si>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</si>
  <si>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</si>
  <si>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</si>
  <si>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</si>
  <si>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</si>
  <si>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</si>
  <si>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</si>
  <si>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</si>
  <si>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</si>
  <si>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</si>
  <si>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</si>
  <si>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</si>
  <si>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</si>
  <si>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</si>
  <si>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</si>
  <si>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</si>
  <si>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</si>
  <si>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</si>
  <si>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</si>
  <si>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</si>
  <si>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</si>
  <si>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</si>
  <si>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</si>
  <si>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</si>
  <si>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</si>
  <si>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</si>
  <si>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</si>
  <si>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</si>
  <si>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</si>
  <si>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</si>
  <si>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</si>
  <si>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</si>
  <si>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</si>
  <si>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</si>
  <si>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</si>
  <si>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</si>
  <si>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</si>
  <si>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</si>
  <si>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</si>
  <si>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</si>
  <si>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</si>
  <si>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</si>
  <si>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</si>
  <si>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</si>
  <si>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</si>
  <si>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</si>
  <si>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</si>
  <si>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</si>
  <si>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</si>
  <si>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</si>
  <si>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</si>
  <si>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</si>
  <si>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</si>
  <si>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</si>
  <si>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</si>
  <si>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</si>
  <si>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</si>
  <si>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</si>
  <si>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</si>
  <si>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</si>
  <si>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</si>
  <si>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</si>
  <si>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</si>
  <si>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</si>
  <si>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</si>
  <si>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</si>
  <si>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</si>
  <si>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</si>
  <si>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</si>
  <si>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</si>
  <si>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</si>
  <si>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</si>
  <si>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</si>
  <si>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</si>
  <si>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</si>
  <si>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</si>
  <si>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</si>
  <si>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</si>
  <si>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</si>
  <si>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</si>
  <si>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</si>
  <si>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</si>
  <si>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</si>
  <si>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</si>
  <si>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</si>
  <si>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</si>
  <si>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</si>
  <si>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</si>
  <si>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</si>
  <si>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</si>
  <si>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</si>
  <si>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</si>
  <si>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</si>
  <si>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</si>
  <si>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</si>
  <si>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</si>
  <si>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</si>
  <si>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</si>
  <si>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</si>
  <si>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</si>
  <si>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</si>
  <si>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</si>
  <si>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</si>
  <si>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</si>
  <si>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</si>
  <si>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</si>
  <si>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</si>
  <si>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</si>
  <si>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</si>
  <si>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</si>
  <si>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</si>
  <si>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</si>
  <si>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</si>
  <si>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</si>
  <si>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</si>
  <si>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</si>
  <si>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</si>
  <si>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</si>
  <si>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</si>
  <si>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</si>
  <si>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</si>
  <si>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</si>
  <si>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</si>
  <si>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</si>
  <si>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</si>
  <si>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</si>
  <si>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</si>
  <si>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</si>
  <si>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</si>
  <si>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</si>
  <si>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</si>
  <si>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</si>
  <si>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</si>
  <si>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</si>
  <si>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</si>
  <si>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</si>
  <si>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</si>
  <si>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</si>
  <si>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</si>
  <si>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</si>
  <si>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</si>
  <si>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</si>
  <si>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</si>
  <si>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</si>
  <si>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</si>
  <si>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</si>
  <si>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</si>
  <si>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</si>
  <si>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</si>
  <si>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</si>
  <si>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</si>
  <si>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</si>
  <si>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</si>
  <si>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</si>
  <si>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</si>
  <si>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</si>
  <si>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</si>
  <si>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</si>
  <si>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</si>
  <si>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</si>
  <si>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</si>
  <si>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</si>
  <si>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</si>
  <si>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</si>
  <si>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</si>
  <si>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</si>
  <si>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</si>
  <si>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</si>
  <si>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</si>
  <si>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</si>
  <si>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</si>
  <si>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</si>
  <si>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</si>
  <si>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</si>
  <si>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</si>
  <si>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</si>
  <si>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</si>
  <si>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</si>
  <si>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</si>
  <si>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</si>
  <si>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</si>
  <si>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</si>
  <si>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</si>
  <si>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</si>
  <si>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</si>
  <si>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</si>
  <si>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</si>
  <si>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</si>
  <si>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</si>
  <si>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</si>
  <si>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</si>
  <si>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</si>
  <si>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</si>
  <si>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</si>
  <si>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</si>
  <si>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</si>
  <si>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</si>
  <si>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</si>
  <si>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</si>
  <si>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</si>
  <si>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</si>
  <si>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</si>
  <si>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</si>
  <si>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</si>
  <si>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</si>
  <si>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</si>
  <si>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</si>
  <si>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</si>
  <si>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</si>
  <si>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</si>
  <si>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</si>
  <si>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</si>
  <si>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</si>
  <si>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</si>
  <si>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</si>
  <si>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</si>
  <si>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</si>
  <si>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</si>
  <si>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</si>
  <si>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</si>
  <si>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</si>
  <si>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</si>
  <si>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</si>
  <si>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</si>
  <si>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</si>
  <si>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</si>
  <si>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</si>
  <si>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</si>
  <si>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</si>
  <si>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</si>
  <si>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</si>
  <si>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</si>
  <si>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</si>
  <si>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</si>
  <si>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</si>
  <si>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</si>
  <si>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</si>
  <si>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</si>
  <si>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</si>
  <si>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</si>
  <si>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</si>
  <si>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</si>
  <si>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</si>
  <si>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</si>
  <si>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</si>
  <si>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</si>
  <si>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</si>
  <si>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</si>
  <si>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</si>
  <si>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</si>
  <si>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</si>
  <si>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</si>
  <si>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</si>
  <si>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</si>
  <si>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</si>
  <si>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</si>
  <si>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</si>
  <si>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</si>
  <si>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</si>
  <si>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</si>
  <si>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</si>
  <si>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</si>
  <si>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</si>
  <si>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</si>
  <si>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</si>
  <si>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</si>
  <si>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</si>
  <si>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</si>
  <si>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</si>
  <si>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</si>
  <si>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</si>
  <si>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</si>
  <si>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</si>
  <si>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</si>
  <si>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</si>
  <si>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</si>
  <si>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</si>
  <si>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</si>
  <si>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</si>
  <si>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</si>
  <si>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</si>
  <si>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</si>
  <si>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</si>
  <si>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</si>
  <si>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</si>
  <si>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</si>
  <si>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</si>
  <si>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</si>
  <si>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</si>
  <si>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</si>
  <si>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</si>
  <si>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</si>
  <si>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</si>
  <si>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</si>
  <si>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</si>
  <si>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</si>
  <si>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</si>
  <si>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</si>
  <si>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</si>
  <si>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</si>
  <si>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</si>
  <si>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</si>
  <si>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</si>
  <si>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</si>
  <si>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</si>
  <si>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</si>
  <si>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</si>
  <si>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</si>
  <si>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</si>
  <si>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</si>
  <si>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</si>
  <si>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</si>
  <si>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</si>
  <si>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</si>
  <si>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</si>
  <si>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</si>
  <si>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</si>
  <si>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</si>
  <si>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</si>
  <si>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</si>
  <si>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</si>
  <si>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</si>
  <si>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</si>
  <si>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</si>
  <si>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</si>
  <si>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</si>
  <si>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</si>
  <si>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</si>
  <si>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</si>
  <si>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</si>
  <si>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</si>
  <si>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</si>
  <si>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</si>
  <si>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</si>
  <si>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</si>
  <si>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</si>
  <si>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</si>
  <si>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</si>
  <si>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</si>
  <si>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</si>
  <si>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</si>
  <si>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</si>
  <si>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</si>
  <si>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</si>
  <si>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</si>
  <si>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</si>
  <si>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</si>
  <si>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</si>
  <si>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</si>
  <si>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</si>
  <si>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</si>
  <si>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</si>
  <si>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</si>
  <si>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</si>
  <si>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</si>
  <si>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</si>
  <si>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</si>
  <si>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</si>
  <si>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</si>
  <si>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</si>
  <si>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</si>
  <si>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</si>
  <si>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</si>
  <si>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</si>
  <si>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</si>
  <si>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</si>
  <si>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</si>
  <si>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</si>
  <si>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</si>
  <si>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</si>
  <si>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</si>
  <si>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</si>
  <si>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</si>
  <si>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</si>
  <si>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</si>
  <si>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</si>
  <si>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</si>
  <si>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</si>
  <si>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</si>
  <si>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</si>
  <si>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</si>
  <si>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</si>
  <si>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</si>
  <si>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</si>
  <si>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</si>
  <si>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</si>
  <si>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</si>
  <si>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</si>
  <si>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</si>
  <si>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</si>
  <si>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</si>
  <si>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</si>
  <si>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</si>
  <si>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</si>
  <si>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</si>
  <si>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</si>
  <si>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</si>
  <si>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</si>
  <si>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</si>
  <si>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</si>
  <si>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</si>
  <si>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</si>
  <si>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</si>
  <si>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</si>
  <si>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</si>
  <si>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</si>
  <si>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</si>
  <si>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</si>
  <si>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</si>
  <si>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</si>
  <si>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</si>
  <si>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</si>
  <si>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</si>
  <si>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</si>
  <si>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</si>
  <si>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</si>
  <si>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</si>
  <si>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</si>
  <si>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</si>
  <si>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</si>
  <si>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</si>
  <si>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</si>
  <si>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</si>
  <si>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</si>
  <si>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</si>
  <si>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</si>
  <si>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</si>
  <si>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</si>
  <si>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</si>
  <si>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</si>
  <si>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</si>
  <si>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</si>
  <si>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</si>
  <si>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</si>
  <si>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</si>
  <si>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</si>
  <si>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</si>
  <si>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</si>
  <si>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</si>
  <si>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</si>
  <si>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</si>
  <si>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</si>
  <si>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</si>
  <si>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</si>
  <si>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</si>
  <si>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</si>
  <si>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</si>
  <si>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</si>
  <si>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</si>
  <si>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</si>
  <si>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</si>
  <si>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</si>
  <si>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</si>
  <si>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</si>
  <si>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</si>
  <si>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</si>
  <si>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</si>
  <si>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</si>
  <si>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</si>
  <si>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</si>
  <si>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</si>
  <si>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</si>
  <si>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</si>
  <si>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</si>
  <si>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</si>
  <si>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</si>
  <si>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</si>
  <si>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</si>
  <si>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</si>
  <si>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</si>
  <si>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</si>
  <si>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</si>
  <si>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</si>
  <si>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</si>
  <si>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</si>
  <si>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</si>
  <si>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</si>
  <si>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</si>
  <si>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</si>
  <si>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</si>
  <si>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</si>
  <si>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</si>
  <si>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</si>
  <si>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</si>
  <si>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</si>
  <si>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</si>
  <si>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</si>
  <si>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</si>
  <si>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</si>
  <si>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</si>
  <si>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</si>
  <si>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</si>
  <si>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</si>
  <si>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</si>
  <si>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</si>
  <si>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</si>
  <si>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</si>
  <si>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</si>
  <si>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</si>
  <si>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</si>
  <si>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</si>
  <si>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</si>
  <si>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</si>
  <si>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</si>
  <si>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</si>
  <si>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</si>
  <si>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</si>
  <si>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</si>
  <si>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</si>
  <si>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</si>
  <si>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</si>
  <si>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</si>
  <si>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</si>
  <si>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</si>
  <si>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</si>
  <si>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</si>
  <si>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</si>
  <si>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</si>
  <si>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</si>
  <si>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</si>
  <si>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</si>
  <si>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</si>
  <si>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</si>
  <si>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</si>
  <si>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</si>
  <si>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</si>
  <si>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</si>
  <si>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</si>
  <si>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</si>
  <si>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</si>
  <si>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</si>
  <si>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</si>
  <si>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</si>
  <si>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</si>
  <si>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</si>
  <si>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</si>
  <si>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</si>
  <si>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</si>
  <si>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</si>
  <si>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</si>
  <si>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</si>
  <si>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</si>
  <si>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</si>
  <si>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</si>
  <si>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</si>
  <si>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</si>
  <si>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</si>
  <si>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</si>
  <si>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</si>
  <si>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</si>
  <si>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</si>
  <si>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</si>
  <si>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</si>
  <si>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</si>
  <si>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</si>
  <si>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</si>
  <si>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</si>
  <si>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</si>
  <si>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</si>
  <si>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</si>
  <si>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</si>
  <si>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</si>
  <si>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</si>
  <si>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</si>
  <si>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</si>
  <si>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</si>
  <si>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</si>
  <si>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</si>
  <si>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</si>
  <si>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</si>
  <si>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</si>
  <si>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</si>
  <si>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</si>
  <si>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</si>
  <si>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</si>
  <si>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</si>
  <si>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</si>
  <si>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</si>
  <si>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</si>
  <si>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</si>
  <si>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</si>
  <si>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</si>
  <si>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</si>
  <si>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</si>
  <si>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</si>
  <si>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</si>
  <si>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</si>
  <si>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</si>
  <si>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</si>
  <si>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</si>
  <si>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</si>
  <si>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</si>
  <si>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</si>
  <si>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</si>
  <si>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</si>
  <si>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</si>
  <si>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</si>
  <si>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</si>
  <si>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</si>
  <si>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</si>
  <si>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</si>
  <si>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</si>
  <si>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</si>
  <si>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</si>
  <si>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</si>
  <si>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</si>
  <si>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</si>
  <si>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</si>
  <si>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</si>
  <si>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</si>
  <si>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</si>
  <si>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</si>
  <si>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</si>
  <si>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</si>
  <si>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</si>
  <si>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</si>
  <si>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</si>
  <si>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</si>
  <si>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</si>
  <si>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</si>
  <si>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</si>
  <si>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</si>
  <si>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</si>
  <si>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</si>
  <si>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</si>
  <si>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</si>
  <si>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</si>
  <si>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</si>
  <si>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</si>
  <si>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</si>
  <si>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</si>
  <si>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</si>
  <si>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</si>
  <si>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</si>
  <si>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</si>
  <si>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</si>
  <si>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</si>
  <si>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</si>
  <si>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</si>
  <si>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</si>
  <si>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</si>
  <si>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</si>
  <si>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</si>
  <si>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</si>
  <si>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</si>
  <si>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</si>
  <si>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</si>
  <si>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</si>
  <si>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</si>
  <si>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</si>
  <si>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</si>
  <si>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</si>
  <si>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</si>
  <si>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</si>
  <si>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</si>
  <si>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</si>
  <si>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</si>
  <si>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</si>
  <si>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</si>
  <si>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</si>
  <si>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</si>
  <si>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</si>
  <si>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</si>
  <si>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</si>
  <si>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</si>
  <si>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</si>
  <si>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</si>
  <si>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</si>
  <si>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</si>
  <si>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</si>
  <si>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</si>
  <si>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</si>
  <si>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</si>
  <si>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</si>
  <si>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</si>
  <si>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</si>
  <si>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</si>
  <si>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</si>
  <si>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</si>
  <si>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</si>
  <si>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</si>
  <si>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</si>
  <si>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</si>
  <si>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</si>
  <si>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</si>
  <si>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</si>
  <si>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</si>
  <si>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</si>
  <si>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</si>
  <si>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</si>
  <si>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</si>
  <si>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</si>
  <si>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</si>
  <si>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</si>
  <si>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</si>
  <si>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</si>
  <si>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</si>
  <si>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</si>
  <si>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</si>
  <si>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</si>
  <si>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</si>
  <si>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</si>
  <si>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</si>
  <si>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</si>
  <si>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</si>
  <si>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</si>
  <si>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</si>
  <si>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</si>
  <si>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</si>
  <si>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</si>
  <si>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</si>
  <si>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</si>
  <si>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</si>
  <si>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</si>
  <si>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</si>
  <si>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</si>
  <si>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</si>
  <si>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</si>
  <si>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</si>
  <si>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</si>
  <si>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</si>
  <si>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</si>
  <si>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</si>
  <si>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</si>
  <si>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</si>
  <si>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</si>
  <si>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</si>
  <si>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</si>
  <si>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</si>
  <si>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</si>
  <si>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</si>
  <si>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</si>
  <si>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</si>
  <si>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</si>
  <si>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</si>
  <si>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</si>
  <si>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</si>
  <si>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</si>
  <si>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</si>
  <si>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</si>
  <si>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</si>
  <si>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</si>
  <si>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</si>
  <si>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</si>
  <si>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</si>
  <si>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</si>
  <si>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</si>
  <si>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</si>
  <si>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</si>
  <si>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</si>
  <si>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</si>
  <si>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</si>
  <si>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</si>
  <si>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</si>
  <si>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</si>
  <si>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</si>
  <si>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</si>
  <si>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</si>
  <si>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</si>
  <si>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</si>
  <si>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</si>
  <si>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</si>
  <si>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</si>
  <si>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</si>
  <si>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</si>
  <si>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</si>
  <si>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</si>
  <si>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</si>
  <si>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</si>
  <si>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</si>
  <si>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</si>
  <si>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</si>
  <si>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</si>
  <si>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</si>
  <si>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</si>
  <si>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</si>
  <si>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</si>
  <si>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</si>
  <si>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</si>
  <si>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</si>
  <si>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</si>
  <si>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</si>
  <si>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</si>
  <si>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</si>
  <si>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</si>
  <si>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</si>
  <si>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</si>
  <si>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</si>
  <si>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</si>
  <si>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</si>
  <si>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</si>
  <si>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</si>
  <si>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</si>
  <si>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</si>
  <si>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</si>
  <si>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</si>
  <si>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</si>
  <si>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</si>
  <si>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</si>
  <si>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</si>
  <si>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</si>
  <si>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</si>
  <si>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</si>
  <si>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</si>
  <si>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</si>
  <si>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</si>
  <si>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</si>
  <si>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</si>
  <si>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</si>
  <si>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</si>
  <si>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</si>
  <si>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</si>
  <si>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</si>
  <si>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</si>
  <si>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</si>
  <si>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</si>
  <si>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</si>
  <si>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</si>
  <si>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</si>
  <si>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</si>
  <si>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</si>
  <si>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</si>
  <si>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</si>
  <si>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</si>
  <si>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</si>
  <si>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</si>
  <si>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</si>
  <si>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</si>
  <si>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</si>
  <si>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</si>
  <si>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</si>
  <si>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</si>
  <si>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</si>
  <si>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</si>
  <si>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</si>
  <si>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</si>
  <si>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</si>
  <si>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</si>
  <si>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</si>
  <si>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</si>
  <si>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</si>
  <si>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</si>
  <si>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</si>
  <si>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</si>
  <si>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</si>
  <si>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</si>
  <si>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</si>
  <si>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</si>
  <si>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</si>
  <si>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</si>
  <si>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</si>
  <si>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</si>
  <si>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</si>
  <si>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</si>
  <si>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</si>
  <si>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</si>
  <si>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</si>
  <si>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</si>
  <si>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</si>
  <si>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</si>
  <si>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</si>
  <si>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</si>
  <si>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</si>
  <si>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</si>
  <si>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</si>
  <si>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</si>
  <si>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</si>
  <si>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</si>
  <si>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</si>
  <si>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</si>
  <si>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</si>
  <si>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</si>
  <si>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</si>
  <si>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</si>
  <si>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</si>
  <si>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</si>
  <si>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</si>
  <si>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</si>
  <si>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</si>
  <si>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</si>
  <si>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</si>
  <si>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</si>
  <si>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</si>
  <si>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</si>
  <si>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</si>
  <si>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</si>
  <si>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</si>
  <si>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</si>
  <si>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</si>
  <si>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</si>
  <si>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</si>
  <si>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</si>
  <si>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</si>
  <si>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</si>
  <si>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</si>
  <si>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</si>
  <si>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</si>
  <si>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</si>
  <si>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</si>
  <si>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</si>
  <si>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</si>
  <si>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</si>
  <si>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</si>
  <si>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</si>
  <si>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</si>
  <si>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</si>
  <si>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</si>
  <si>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</si>
  <si>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</si>
  <si>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</si>
  <si>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</si>
  <si>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</si>
  <si>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</si>
  <si>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</si>
  <si>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</si>
  <si>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</si>
  <si>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</si>
  <si>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</si>
  <si>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</si>
  <si>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</si>
  <si>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</si>
  <si>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</si>
  <si>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</si>
  <si>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</si>
  <si>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</si>
  <si>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</si>
  <si>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</si>
  <si>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</si>
  <si>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</si>
  <si>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</si>
  <si>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</si>
  <si>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</si>
  <si>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</si>
  <si>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</si>
  <si>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</si>
  <si>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</si>
  <si>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</si>
  <si>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</si>
  <si>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</si>
  <si>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</si>
  <si>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</si>
  <si>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</si>
  <si>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</si>
  <si>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</si>
  <si>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</si>
  <si>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</si>
  <si>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</si>
  <si>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</si>
  <si>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</si>
  <si>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</si>
  <si>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</si>
  <si>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</si>
  <si>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</si>
  <si>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</si>
  <si>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</si>
  <si>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</si>
  <si>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</si>
  <si>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</si>
  <si>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</si>
  <si>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</si>
  <si>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</si>
  <si>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</si>
  <si>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</si>
  <si>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</si>
  <si>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</si>
  <si>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</si>
  <si>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</si>
  <si>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</si>
  <si>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</si>
  <si>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</si>
  <si>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</si>
  <si>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</si>
  <si>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</si>
  <si>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</si>
  <si>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</si>
  <si>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</si>
  <si>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</si>
  <si>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</si>
  <si>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</si>
  <si>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</si>
  <si>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</si>
  <si>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</si>
  <si>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</si>
  <si>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</si>
  <si>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</si>
  <si>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</si>
  <si>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</si>
  <si>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</si>
  <si>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</si>
  <si>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</si>
  <si>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</si>
  <si>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</si>
  <si>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</si>
  <si>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</si>
  <si>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</si>
  <si>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</si>
  <si>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</si>
  <si>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</si>
  <si>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</si>
  <si>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</si>
  <si>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</si>
  <si>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</si>
  <si>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</si>
  <si>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</si>
  <si>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</si>
  <si>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</si>
  <si>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</si>
  <si>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</si>
  <si>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</si>
  <si>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</si>
  <si>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</si>
  <si>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</si>
  <si>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</si>
  <si>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</si>
  <si>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</si>
  <si>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</si>
  <si>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</si>
  <si>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</si>
  <si>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</si>
  <si>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</si>
  <si>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</si>
  <si>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</si>
  <si>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</si>
  <si>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</si>
  <si>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</si>
  <si>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</si>
  <si>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</si>
  <si>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</si>
  <si>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</si>
  <si>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</si>
  <si>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</si>
  <si>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</si>
  <si>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</si>
  <si>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</si>
  <si>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</si>
  <si>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</si>
  <si>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</si>
  <si>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</si>
  <si>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</si>
  <si>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</si>
  <si>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</si>
  <si>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</si>
  <si>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</si>
  <si>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</si>
  <si>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</si>
  <si>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</si>
  <si>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</si>
  <si>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</si>
  <si>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</si>
  <si>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</si>
  <si>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</si>
  <si>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</si>
  <si>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</si>
  <si>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</si>
  <si>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</si>
  <si>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</si>
  <si>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</si>
  <si>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</si>
  <si>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</si>
  <si>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</si>
  <si>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</si>
  <si>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</si>
  <si>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</si>
  <si>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</si>
  <si>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</si>
  <si>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</si>
  <si>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</si>
  <si>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</si>
  <si>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</si>
  <si>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</si>
  <si>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</si>
  <si>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</si>
  <si>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</si>
  <si>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</si>
  <si>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</si>
  <si>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</si>
  <si>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</si>
  <si>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</si>
  <si>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</si>
  <si>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</si>
  <si>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</si>
  <si>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</si>
  <si>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</si>
  <si>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</si>
  <si>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</si>
  <si>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</si>
  <si>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</si>
  <si>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</si>
  <si>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</si>
  <si>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</si>
  <si>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</si>
  <si>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</si>
  <si>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</si>
  <si>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</si>
  <si>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</si>
  <si>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</si>
  <si>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</si>
  <si>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</si>
  <si>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</si>
  <si>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</si>
  <si>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</si>
  <si>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</si>
  <si>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</si>
  <si>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</si>
  <si>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</si>
  <si>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</si>
  <si>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</si>
  <si>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</si>
  <si>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</si>
  <si>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</si>
  <si>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</si>
  <si>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</si>
  <si>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</si>
  <si>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</si>
  <si>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</si>
  <si>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</si>
  <si>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</si>
  <si>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</si>
  <si>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</si>
  <si>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</si>
  <si>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</si>
  <si>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</si>
  <si>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</si>
  <si>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</si>
  <si>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</si>
  <si>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</si>
  <si>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</si>
  <si>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</si>
  <si>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</si>
  <si>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</si>
  <si>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</si>
  <si>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</si>
  <si>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</si>
  <si>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</si>
  <si>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</si>
  <si>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</si>
  <si>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</si>
  <si>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</si>
  <si>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</si>
  <si>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</si>
  <si>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</si>
  <si>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</si>
  <si>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</si>
  <si>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</si>
  <si>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</si>
  <si>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</si>
  <si>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</si>
  <si>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</si>
  <si>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</si>
  <si>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</si>
  <si>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</si>
  <si>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</si>
  <si>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</si>
  <si>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</si>
  <si>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</si>
  <si>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</si>
  <si>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</si>
  <si>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</si>
  <si>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</si>
  <si>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</si>
  <si>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</si>
  <si>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</si>
  <si>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</si>
  <si>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</si>
  <si>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</si>
  <si>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</si>
  <si>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</si>
  <si>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</si>
  <si>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</si>
  <si>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</si>
  <si>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</si>
  <si>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</si>
  <si>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</si>
  <si>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</si>
  <si>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</si>
  <si>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</si>
  <si>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</si>
  <si>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</si>
  <si>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</si>
  <si>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</si>
  <si>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</si>
  <si>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</si>
  <si>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</si>
  <si>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</si>
  <si>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</si>
  <si>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</si>
  <si>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</si>
  <si>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</si>
  <si>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</si>
  <si>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</si>
  <si>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</si>
  <si>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</si>
  <si>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</si>
  <si>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</si>
  <si>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</si>
  <si>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</si>
  <si>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</si>
  <si>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</si>
  <si>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</si>
  <si>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</si>
  <si>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</si>
  <si>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</si>
  <si>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</si>
  <si>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</si>
  <si>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</si>
  <si>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</si>
  <si>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</si>
  <si>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</si>
  <si>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</si>
  <si>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</si>
  <si>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</si>
  <si>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</si>
  <si>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</si>
  <si>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</si>
  <si>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</si>
  <si>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</si>
  <si>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</si>
  <si>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</si>
  <si>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</si>
  <si>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</si>
  <si>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</si>
  <si>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</si>
  <si>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</si>
  <si>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</si>
  <si>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</si>
  <si>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</si>
  <si>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</si>
  <si>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</si>
  <si>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</si>
  <si>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</si>
  <si>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</si>
  <si>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</si>
  <si>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</si>
  <si>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</si>
  <si>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</si>
  <si>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</si>
  <si>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</si>
  <si>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</si>
  <si>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</si>
  <si>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</si>
  <si>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</si>
  <si>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</si>
  <si>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</si>
  <si>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</si>
  <si>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</si>
  <si>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</si>
  <si>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</si>
  <si>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</si>
  <si>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</si>
  <si>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</si>
  <si>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</si>
  <si>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</si>
  <si>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</si>
  <si>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</si>
  <si>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</si>
  <si>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</si>
  <si>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</si>
  <si>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</si>
  <si>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</si>
  <si>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</si>
  <si>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</si>
  <si>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</si>
  <si>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</si>
  <si>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</si>
  <si>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</si>
  <si>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</si>
  <si>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</si>
  <si>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</si>
  <si>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</si>
  <si>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</si>
  <si>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</si>
  <si>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</si>
  <si>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</si>
  <si>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</si>
  <si>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</si>
  <si>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</si>
  <si>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</si>
  <si>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</si>
  <si>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</si>
  <si>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</si>
  <si>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</si>
  <si>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</si>
  <si>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</si>
  <si>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</si>
  <si>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</si>
  <si>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</si>
  <si>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</si>
  <si>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</si>
  <si>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</si>
  <si>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</si>
  <si>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</si>
  <si>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</si>
  <si>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</si>
  <si>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</si>
  <si>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</si>
  <si>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</si>
  <si>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</si>
  <si>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</si>
  <si>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</si>
  <si>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</si>
  <si>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</si>
  <si>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</si>
  <si>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</si>
  <si>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</si>
  <si>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</si>
  <si>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</si>
  <si>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</si>
  <si>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</si>
  <si>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</si>
  <si>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</si>
  <si>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</si>
  <si>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</si>
  <si>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</si>
  <si>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</si>
  <si>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</si>
  <si>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</si>
  <si>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</si>
  <si>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</si>
  <si>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</si>
  <si>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</si>
  <si>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</si>
  <si>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</si>
  <si>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</si>
  <si>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</si>
  <si>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</si>
  <si>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</si>
  <si>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</si>
  <si>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</si>
  <si>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</si>
  <si>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</si>
  <si>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</si>
  <si>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</si>
  <si>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</si>
  <si>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</si>
  <si>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</si>
  <si>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</si>
  <si>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</si>
  <si>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</si>
  <si>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</si>
  <si>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</si>
  <si>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</si>
  <si>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</si>
  <si>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</si>
  <si>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</si>
  <si>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</si>
  <si>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</si>
  <si>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</si>
  <si>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</si>
  <si>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</si>
  <si>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</si>
  <si>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</si>
  <si>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</si>
  <si>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</si>
  <si>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</si>
  <si>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</si>
  <si>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</si>
  <si>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</si>
  <si>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</si>
  <si>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</si>
  <si>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</si>
  <si>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</si>
  <si>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</si>
  <si>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</si>
  <si>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</si>
  <si>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</si>
  <si>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</si>
  <si>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</si>
  <si>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</si>
  <si>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</si>
  <si>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</si>
  <si>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</si>
  <si>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</si>
  <si>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</si>
  <si>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</si>
  <si>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</si>
  <si>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</si>
  <si>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</si>
  <si>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</si>
  <si>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</si>
  <si>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</si>
  <si>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</si>
  <si>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</si>
  <si>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</si>
  <si>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</si>
  <si>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</si>
  <si>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</si>
  <si>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</si>
  <si>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</si>
  <si>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</si>
  <si>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</si>
  <si>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</si>
  <si>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</si>
  <si>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</si>
  <si>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</si>
  <si>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</si>
  <si>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</si>
  <si>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</si>
  <si>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</si>
  <si>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</si>
  <si>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</si>
  <si>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</si>
  <si>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</si>
  <si>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</si>
  <si>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</si>
  <si>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</si>
  <si>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</si>
  <si>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</si>
  <si>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</si>
  <si>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</si>
  <si>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</si>
  <si>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</si>
  <si>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</si>
  <si>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</si>
  <si>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</si>
  <si>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</si>
  <si>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</si>
  <si>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</si>
  <si>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</si>
  <si>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</si>
  <si>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</si>
  <si>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</si>
  <si>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</si>
  <si>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</si>
  <si>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</si>
  <si>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</si>
  <si>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</si>
  <si>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</si>
  <si>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</si>
  <si>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</si>
  <si>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</si>
  <si>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</si>
  <si>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</si>
  <si>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</si>
  <si>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</si>
  <si>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</si>
  <si>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</si>
  <si>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</si>
  <si>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</si>
  <si>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</si>
  <si>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</si>
  <si>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</si>
  <si>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</si>
  <si>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</si>
  <si>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</si>
  <si>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</si>
  <si>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</si>
  <si>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</si>
  <si>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</si>
  <si>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</si>
  <si>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</si>
  <si>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</si>
  <si>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</si>
  <si>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</si>
  <si>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</si>
  <si>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</si>
  <si>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</si>
  <si>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</si>
  <si>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</si>
  <si>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</si>
  <si>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</si>
  <si>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</si>
  <si>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</si>
  <si>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</si>
  <si>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</si>
  <si>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</si>
  <si>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</si>
  <si>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</si>
  <si>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</si>
  <si>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</si>
  <si>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</si>
  <si>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</si>
  <si>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</si>
  <si>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</si>
  <si>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</si>
  <si>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</si>
  <si>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</si>
  <si>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</si>
  <si>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</si>
  <si>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</si>
  <si>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</si>
  <si>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</si>
  <si>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</si>
  <si>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</si>
  <si>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</si>
  <si>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</si>
  <si>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</si>
  <si>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</si>
  <si>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</si>
  <si>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</si>
  <si>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</si>
  <si>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</si>
  <si>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</si>
  <si>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</si>
  <si>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</si>
  <si>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</si>
  <si>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</si>
  <si>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</si>
  <si>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</si>
  <si>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</si>
  <si>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</si>
  <si>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</si>
  <si>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</si>
  <si>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</si>
  <si>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</si>
  <si>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</si>
  <si>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</si>
  <si>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</si>
  <si>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</si>
  <si>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</si>
  <si>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</si>
  <si>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</si>
  <si>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</si>
  <si>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</si>
  <si>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</si>
  <si>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</si>
  <si>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</si>
  <si>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</si>
  <si>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</si>
  <si>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</si>
  <si>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</si>
  <si>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</si>
  <si>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</si>
  <si>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</si>
  <si>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</si>
  <si>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</si>
  <si>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</si>
  <si>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</si>
  <si>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</si>
  <si>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</si>
  <si>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</si>
  <si>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</si>
  <si>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</si>
  <si>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</si>
  <si>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</si>
  <si>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</si>
  <si>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</si>
  <si>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</si>
  <si>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</si>
  <si>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</si>
  <si>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</si>
  <si>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</si>
  <si>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</si>
  <si>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</si>
  <si>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</si>
  <si>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</si>
  <si>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</si>
  <si>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</si>
  <si>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</si>
  <si>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</si>
  <si>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</si>
  <si>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</si>
  <si>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</si>
  <si>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</si>
  <si>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</si>
  <si>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</si>
  <si>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</si>
  <si>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</si>
  <si>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</si>
  <si>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</si>
  <si>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</si>
  <si>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</si>
  <si>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</si>
  <si>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</si>
  <si>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</si>
  <si>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</si>
  <si>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</si>
  <si>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</si>
  <si>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</si>
  <si>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</si>
  <si>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</si>
  <si>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</si>
  <si>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</si>
  <si>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</si>
  <si>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</si>
  <si>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</si>
  <si>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</si>
  <si>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</si>
  <si>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</si>
  <si>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</si>
  <si>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</si>
  <si>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</si>
  <si>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</si>
  <si>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</si>
  <si>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</si>
  <si>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</si>
  <si>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</si>
  <si>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</si>
  <si>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</si>
  <si>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</si>
  <si>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</si>
  <si>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</si>
  <si>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</si>
  <si>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</si>
  <si>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</si>
  <si>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</si>
  <si>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</si>
  <si>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</si>
  <si>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</si>
  <si>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</si>
  <si>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</si>
  <si>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</si>
  <si>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</si>
  <si>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</si>
  <si>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</si>
  <si>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</si>
  <si>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</si>
  <si>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</si>
  <si>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</si>
  <si>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</si>
  <si>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</si>
  <si>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</si>
  <si>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</si>
  <si>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</si>
  <si>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</si>
  <si>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</si>
  <si>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</si>
  <si>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</si>
  <si>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</si>
  <si>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</si>
  <si>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</si>
  <si>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</si>
  <si>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</si>
  <si>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</si>
  <si>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</si>
  <si>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</si>
  <si>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</si>
  <si>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</si>
  <si>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</si>
  <si>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</si>
  <si>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</si>
  <si>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</si>
  <si>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</si>
  <si>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</si>
  <si>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</si>
  <si>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</si>
  <si>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</si>
  <si>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</si>
  <si>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</si>
  <si>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</si>
  <si>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</si>
  <si>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</si>
  <si>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</si>
  <si>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</si>
  <si>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</si>
  <si>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</si>
  <si>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</si>
  <si>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</si>
  <si>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</si>
  <si>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</si>
  <si>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</si>
  <si>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</si>
  <si>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</si>
  <si>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</si>
  <si>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</si>
  <si>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</si>
  <si>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</si>
  <si>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</si>
  <si>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</si>
  <si>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</si>
  <si>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</si>
  <si>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</si>
  <si>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</si>
  <si>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</si>
  <si>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</si>
  <si>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</si>
  <si>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</si>
  <si>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</si>
  <si>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</si>
  <si>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</si>
  <si>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</si>
  <si>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</si>
  <si>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</si>
  <si>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</si>
  <si>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</si>
  <si>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</si>
  <si>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</si>
  <si>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</si>
  <si>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</si>
  <si>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</si>
  <si>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</si>
  <si>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</si>
  <si>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</si>
  <si>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</si>
  <si>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</si>
  <si>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</si>
  <si>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</si>
  <si>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</si>
  <si>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</si>
  <si>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</si>
  <si>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</si>
  <si>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</si>
  <si>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</si>
  <si>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</si>
  <si>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</si>
  <si>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</si>
  <si>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</si>
  <si>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</si>
  <si>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</si>
  <si>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</si>
  <si>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</si>
  <si>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</si>
  <si>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</si>
  <si>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</si>
  <si>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</si>
  <si>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</si>
  <si>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</si>
  <si>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</si>
  <si>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</si>
  <si>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</si>
  <si>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</si>
  <si>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</si>
  <si>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</si>
  <si>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</si>
  <si>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</si>
  <si>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</si>
  <si>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</si>
  <si>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</si>
  <si>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</si>
  <si>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</si>
  <si>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</si>
  <si>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</si>
  <si>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</si>
  <si>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</si>
  <si>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</si>
  <si>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</si>
  <si>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</si>
  <si>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</si>
  <si>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</si>
  <si>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</si>
  <si>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</si>
  <si>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</si>
  <si>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</si>
  <si>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</si>
  <si>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</si>
  <si>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</si>
  <si>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</si>
  <si>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</si>
  <si>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</si>
  <si>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</si>
  <si>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</si>
  <si>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</si>
  <si>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</si>
  <si>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</si>
  <si>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</si>
  <si>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</si>
  <si>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</si>
  <si>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</si>
  <si>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</si>
  <si>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</si>
  <si>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</si>
  <si>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</si>
  <si>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</si>
  <si>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</si>
  <si>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</si>
  <si>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</si>
  <si>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</si>
  <si>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</si>
  <si>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</si>
  <si>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</si>
  <si>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</si>
  <si>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</si>
  <si>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</si>
  <si>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</si>
  <si>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</si>
  <si>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</si>
  <si>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</si>
  <si>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</si>
  <si>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</si>
  <si>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</si>
  <si>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</si>
  <si>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</si>
  <si>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</si>
  <si>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</si>
  <si>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</si>
  <si>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</si>
  <si>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</si>
  <si>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</si>
  <si>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</si>
  <si>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</si>
  <si>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</si>
  <si>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</si>
  <si>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</si>
  <si>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</si>
  <si>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</si>
  <si>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</si>
  <si>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</si>
  <si>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</si>
  <si>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</si>
  <si>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</si>
  <si>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</si>
  <si>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</si>
  <si>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</si>
  <si>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</si>
  <si>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</si>
  <si>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</si>
  <si>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</si>
  <si>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</si>
  <si>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</si>
  <si>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</si>
  <si>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</si>
  <si>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</si>
  <si>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</si>
  <si>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</si>
  <si>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</si>
  <si>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</si>
  <si>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</si>
  <si>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</si>
  <si>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</si>
  <si>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</si>
  <si>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</si>
  <si>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</si>
  <si>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</si>
  <si>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</si>
  <si>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</si>
  <si>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</si>
  <si>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</si>
  <si>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</si>
  <si>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</si>
  <si>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</si>
  <si>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</si>
  <si>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</si>
  <si>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</si>
  <si>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</si>
  <si>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</si>
  <si>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</si>
  <si>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</si>
  <si>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</si>
  <si>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</si>
  <si>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</si>
  <si>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</si>
  <si>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</si>
  <si>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</si>
  <si>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</si>
  <si>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</si>
  <si>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</si>
  <si>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</si>
  <si>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</si>
  <si>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</si>
  <si>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</si>
  <si>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</si>
  <si>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</si>
  <si>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</si>
  <si>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</si>
  <si>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</si>
  <si>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</si>
  <si>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</si>
  <si>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</si>
  <si>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</si>
  <si>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</si>
  <si>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</si>
  <si>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</si>
  <si>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</si>
  <si>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</si>
  <si>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</si>
  <si>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</si>
  <si>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</si>
  <si>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</si>
  <si>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</si>
  <si>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</si>
  <si>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</si>
  <si>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</si>
  <si>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</si>
  <si>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</si>
  <si>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</si>
  <si>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</si>
  <si>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</si>
  <si>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</si>
  <si>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</si>
  <si>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</si>
  <si>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</si>
  <si>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</si>
  <si>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</si>
  <si>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</si>
  <si>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</si>
  <si>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</si>
  <si>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</si>
  <si>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</si>
  <si>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</si>
  <si>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</si>
  <si>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</si>
  <si>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</si>
  <si>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</si>
  <si>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</si>
  <si>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</si>
  <si>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</si>
  <si>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</si>
  <si>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</si>
  <si>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</si>
  <si>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</si>
  <si>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</si>
  <si>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</si>
  <si>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</si>
  <si>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</si>
  <si>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</si>
  <si>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</si>
  <si>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</si>
  <si>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</si>
  <si>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</si>
  <si>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</si>
  <si>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</si>
  <si>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</si>
  <si>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</si>
  <si>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</si>
  <si>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</si>
  <si>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</si>
  <si>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</si>
  <si>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</si>
  <si>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</si>
  <si>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</si>
  <si>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</si>
  <si>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</si>
  <si>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</si>
  <si>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</si>
  <si>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</si>
  <si>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</si>
  <si>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</si>
  <si>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</si>
  <si>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</si>
  <si>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</si>
  <si>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</si>
  <si>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</si>
  <si>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</si>
  <si>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</si>
  <si>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</si>
  <si>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</si>
  <si>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</si>
  <si>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</si>
  <si>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</si>
  <si>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</si>
  <si>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</si>
  <si>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</si>
  <si>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</si>
  <si>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</si>
  <si>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</si>
  <si>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</si>
  <si>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</si>
  <si>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</si>
  <si>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</si>
  <si>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</si>
  <si>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</si>
  <si>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</si>
  <si>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</si>
  <si>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</si>
  <si>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</si>
  <si>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</si>
  <si>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</si>
  <si>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</si>
  <si>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</si>
  <si>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</si>
  <si>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</si>
  <si>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</si>
  <si>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</si>
  <si>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</si>
  <si>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</si>
  <si>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</si>
  <si>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</si>
  <si>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</si>
  <si>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</si>
  <si>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</si>
  <si>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</si>
  <si>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</si>
  <si>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</si>
  <si>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</si>
  <si>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</si>
  <si>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</si>
  <si>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</si>
  <si>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</si>
  <si>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</si>
  <si>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</si>
  <si>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</si>
  <si>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</si>
  <si>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</si>
  <si>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</si>
  <si>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</si>
  <si>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</si>
  <si>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</si>
  <si>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</si>
  <si>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</si>
  <si>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</si>
  <si>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</si>
  <si>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</si>
  <si>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</si>
  <si>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</si>
  <si>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</si>
  <si>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</si>
  <si>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</si>
  <si>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</si>
  <si>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</si>
  <si>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</si>
  <si>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</si>
  <si>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</si>
  <si>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</si>
  <si>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</si>
  <si>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</si>
  <si>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</si>
  <si>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</si>
  <si>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</si>
  <si>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</si>
  <si>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</si>
  <si>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</si>
  <si>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</si>
  <si>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</si>
  <si>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</si>
  <si>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</si>
  <si>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</si>
  <si>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</si>
  <si>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</si>
  <si>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</si>
  <si>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</si>
  <si>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</si>
  <si>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</si>
  <si>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</si>
  <si>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</si>
  <si>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</si>
  <si>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</si>
  <si>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</si>
  <si>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</si>
  <si>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</si>
  <si>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</si>
  <si>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</si>
  <si>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</si>
  <si>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</si>
  <si>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</si>
  <si>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</si>
  <si>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</si>
  <si>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</si>
  <si>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</si>
  <si>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</si>
  <si>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</si>
  <si>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</si>
  <si>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</si>
  <si>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</si>
  <si>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</si>
  <si>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</si>
  <si>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</si>
  <si>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</si>
  <si>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</si>
  <si>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</si>
  <si>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</si>
  <si>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</si>
  <si>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</si>
  <si>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</si>
  <si>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</si>
  <si>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</si>
  <si>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</si>
  <si>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</si>
  <si>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</si>
  <si>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</si>
  <si>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</si>
  <si>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</si>
  <si>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</si>
  <si>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</si>
  <si>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</si>
  <si>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</si>
  <si>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</si>
  <si>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</si>
  <si>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</si>
  <si>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</si>
  <si>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</si>
  <si>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</si>
  <si>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</si>
  <si>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</si>
  <si>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</si>
  <si>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</si>
  <si>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</si>
  <si>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</si>
  <si>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</si>
  <si>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</si>
  <si>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</si>
  <si>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</si>
  <si>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</si>
  <si>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</si>
  <si>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</si>
  <si>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</si>
  <si>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</si>
  <si>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</si>
  <si>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</si>
  <si>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</si>
  <si>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</si>
  <si>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</si>
  <si>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</si>
  <si>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</si>
  <si>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</si>
  <si>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</si>
  <si>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</si>
  <si>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</si>
  <si>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</si>
  <si>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</si>
  <si>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</si>
  <si>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</si>
  <si>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</si>
  <si>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</si>
  <si>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</si>
  <si>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</si>
  <si>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</si>
  <si>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</si>
  <si>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</si>
  <si>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</si>
  <si>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</si>
  <si>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</si>
  <si>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</si>
  <si>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</si>
  <si>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</si>
  <si>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</si>
  <si>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</si>
  <si>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</si>
  <si>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</si>
  <si>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</si>
  <si>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</si>
  <si>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</si>
  <si>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</si>
  <si>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</si>
  <si>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</si>
  <si>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</si>
  <si>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</si>
  <si>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</si>
  <si>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</si>
  <si>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</si>
  <si>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</si>
  <si>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</si>
  <si>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</si>
  <si>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</si>
  <si>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</si>
  <si>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</si>
  <si>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</si>
  <si>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</si>
  <si>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</si>
  <si>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</si>
  <si>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</si>
  <si>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</si>
  <si>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</si>
  <si>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</si>
  <si>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</si>
  <si>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</si>
  <si>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</si>
  <si>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</si>
  <si>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</si>
  <si>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</si>
  <si>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</si>
  <si>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</si>
  <si>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</si>
  <si>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</si>
  <si>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</si>
  <si>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</si>
  <si>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</si>
  <si>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</si>
  <si>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</si>
  <si>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</si>
  <si>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</si>
  <si>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</si>
  <si>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</si>
  <si>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</si>
  <si>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</si>
  <si>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</si>
  <si>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</si>
  <si>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</si>
  <si>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</si>
  <si>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</si>
  <si>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</si>
  <si>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</si>
  <si>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</si>
  <si>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</si>
  <si>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</si>
  <si>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</si>
  <si>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</si>
  <si>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</si>
  <si>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</si>
  <si>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</si>
  <si>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</si>
  <si>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</si>
  <si>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</si>
  <si>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</si>
  <si>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</si>
  <si>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</si>
  <si>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</si>
  <si>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</si>
  <si>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</si>
  <si>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</si>
  <si>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</si>
  <si>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</si>
  <si>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</si>
  <si>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</si>
  <si>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</si>
  <si>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</si>
  <si>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</si>
  <si>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</si>
  <si>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</si>
  <si>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</si>
  <si>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</si>
  <si>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</si>
  <si>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</si>
  <si>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</si>
  <si>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</si>
  <si>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</si>
  <si>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</si>
  <si>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</si>
  <si>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</si>
  <si>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</si>
  <si>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</si>
  <si>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</si>
  <si>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</si>
  <si>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</si>
  <si>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</si>
  <si>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</si>
  <si>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</si>
  <si>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</si>
  <si>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</si>
  <si>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</si>
  <si>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</si>
  <si>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</si>
  <si>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</si>
  <si>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</si>
  <si>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</si>
  <si>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</si>
  <si>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</si>
  <si>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</si>
  <si>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</si>
  <si>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</si>
  <si>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</si>
  <si>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</si>
  <si>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</si>
  <si>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</si>
  <si>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</si>
  <si>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</si>
  <si>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</si>
  <si>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</si>
  <si>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</si>
  <si>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</si>
  <si>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</si>
  <si>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</si>
  <si>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</si>
  <si>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</si>
  <si>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</si>
  <si>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</si>
  <si>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</si>
  <si>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</si>
  <si>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</si>
  <si>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</si>
  <si>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</si>
  <si>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</si>
  <si>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</si>
  <si>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</si>
  <si>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</si>
  <si>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</si>
  <si>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</si>
  <si>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</si>
  <si>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</si>
  <si>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</si>
  <si>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</si>
  <si>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</si>
  <si>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</si>
  <si>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</si>
  <si>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</si>
  <si>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</si>
  <si>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</si>
  <si>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</si>
  <si>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</si>
  <si>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</si>
  <si>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</si>
  <si>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</si>
  <si>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</si>
  <si>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</si>
  <si>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</si>
  <si>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</si>
  <si>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</si>
  <si>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</si>
  <si>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</si>
  <si>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</si>
  <si>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</si>
  <si>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</si>
  <si>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</si>
  <si>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</si>
  <si>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</si>
  <si>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</si>
  <si>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</si>
  <si>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</si>
  <si>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</si>
  <si>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</si>
  <si>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</si>
  <si>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</si>
  <si>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</si>
  <si>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</si>
  <si>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</si>
  <si>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</si>
  <si>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</si>
  <si>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</si>
  <si>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</si>
  <si>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</si>
  <si>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</si>
  <si>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</si>
  <si>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</si>
  <si>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</si>
  <si>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</si>
  <si>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</si>
  <si>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</si>
  <si>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</si>
  <si>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</si>
  <si>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</si>
  <si>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</si>
  <si>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</si>
  <si>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</si>
  <si>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</si>
  <si>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</si>
  <si>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</si>
  <si>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</si>
  <si>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</si>
  <si>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</si>
  <si>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</si>
  <si>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</si>
  <si>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</si>
  <si>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</si>
  <si>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</si>
  <si>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</si>
  <si>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</si>
  <si>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</si>
  <si>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</si>
  <si>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</si>
  <si>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</si>
  <si>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</si>
  <si>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</si>
  <si>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</si>
  <si>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</si>
  <si>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</si>
  <si>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</si>
  <si>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</si>
  <si>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</si>
  <si>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</si>
  <si>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</si>
  <si>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</si>
  <si>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</si>
  <si>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</si>
  <si>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</si>
  <si>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</si>
  <si>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</si>
  <si>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</si>
  <si>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</si>
  <si>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</si>
  <si>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</si>
  <si>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</si>
  <si>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</si>
  <si>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</si>
  <si>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</si>
  <si>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</si>
  <si>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</si>
  <si>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</si>
  <si>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</si>
  <si>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</si>
  <si>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</si>
  <si>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</si>
  <si>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</si>
  <si>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</si>
  <si>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</si>
  <si>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</si>
  <si>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</si>
  <si>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</si>
  <si>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</si>
  <si>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</si>
  <si>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</si>
  <si>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</si>
  <si>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</si>
  <si>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</si>
  <si>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</si>
  <si>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</si>
  <si>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</si>
  <si>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</si>
  <si>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</si>
  <si>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</si>
  <si>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</si>
  <si>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</si>
  <si>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</si>
  <si>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</si>
  <si>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</si>
  <si>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</si>
  <si>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</si>
  <si>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</si>
  <si>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</si>
  <si>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</si>
  <si>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</si>
  <si>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</si>
  <si>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</si>
  <si>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</si>
  <si>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</si>
  <si>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</si>
  <si>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</si>
  <si>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</si>
  <si>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</si>
  <si>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</si>
  <si>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</si>
  <si>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</si>
  <si>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</si>
  <si>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</si>
  <si>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</si>
  <si>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</si>
  <si>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</si>
  <si>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</si>
  <si>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</si>
  <si>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</si>
  <si>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</si>
  <si>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</si>
  <si>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</si>
  <si>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</si>
  <si>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</si>
  <si>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</si>
  <si>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</si>
  <si>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</si>
  <si>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</si>
  <si>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</si>
  <si>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</si>
  <si>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</si>
  <si>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</si>
  <si>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</si>
  <si>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</si>
  <si>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</si>
  <si>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</si>
  <si>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</si>
  <si>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</si>
  <si>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</si>
  <si>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</si>
  <si>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</si>
  <si>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</si>
  <si>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</si>
  <si>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</si>
  <si>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</si>
  <si>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</si>
  <si>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</si>
  <si>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</si>
  <si>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</si>
  <si>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</si>
  <si>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</si>
  <si>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</si>
  <si>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</si>
  <si>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</si>
  <si>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</si>
  <si>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</si>
  <si>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</si>
  <si>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</si>
  <si>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</si>
  <si>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</si>
  <si>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</si>
  <si>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</si>
  <si>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</si>
  <si>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</si>
  <si>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</si>
  <si>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</si>
  <si>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</si>
  <si>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</si>
  <si>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</si>
  <si>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</si>
  <si>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</si>
  <si>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</si>
  <si>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</si>
  <si>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</si>
  <si>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</si>
  <si>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</si>
  <si>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</si>
  <si>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</si>
  <si>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</si>
  <si>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</si>
  <si>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</si>
  <si>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</si>
  <si>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</si>
  <si>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</si>
  <si>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</si>
  <si>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</si>
  <si>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</si>
  <si>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</si>
  <si>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</si>
  <si>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</si>
  <si>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</si>
  <si>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</si>
  <si>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</si>
  <si>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</si>
  <si>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</si>
  <si>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</si>
  <si>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</si>
  <si>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</si>
  <si>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</si>
  <si>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</si>
  <si>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</si>
  <si>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</si>
  <si>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</si>
  <si>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</si>
  <si>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</si>
  <si>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</si>
  <si>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</si>
  <si>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</si>
  <si>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</si>
  <si>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</si>
  <si>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</si>
  <si>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</si>
  <si>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</si>
  <si>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</si>
  <si>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</si>
  <si>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</si>
  <si>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</si>
  <si>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</si>
  <si>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</si>
  <si>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</si>
  <si>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</si>
  <si>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</si>
  <si>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</si>
  <si>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</si>
  <si>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</si>
  <si>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</si>
  <si>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</si>
  <si>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</si>
  <si>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</si>
  <si>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</si>
  <si>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</si>
  <si>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</si>
  <si>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</si>
  <si>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</si>
  <si>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</si>
  <si>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</si>
  <si>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</si>
  <si>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</si>
  <si>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</si>
  <si>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</si>
  <si>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</si>
  <si>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</si>
  <si>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</si>
  <si>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</si>
  <si>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</si>
  <si>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</si>
  <si>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</si>
  <si>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</si>
  <si>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</si>
  <si>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</si>
  <si>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</si>
  <si>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</si>
  <si>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</si>
  <si>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</si>
  <si>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</si>
  <si>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</si>
  <si>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</si>
  <si>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</si>
  <si>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</si>
  <si>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</si>
  <si>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</si>
  <si>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</si>
  <si>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</si>
  <si>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</si>
  <si>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</si>
  <si>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</si>
  <si>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</si>
  <si>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</si>
  <si>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</si>
  <si>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</si>
  <si>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</si>
  <si>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</si>
  <si>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</si>
  <si>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</si>
  <si>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</si>
  <si>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</si>
  <si>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</si>
  <si>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</si>
  <si>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</si>
  <si>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</si>
  <si>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</si>
  <si>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</si>
  <si>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</si>
  <si>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</si>
  <si>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</si>
  <si>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</si>
  <si>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</si>
  <si>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</si>
  <si>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</si>
  <si>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</si>
  <si>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</si>
  <si>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</si>
  <si>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</si>
  <si>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</si>
  <si>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</si>
  <si>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</si>
  <si>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</si>
  <si>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</si>
  <si>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</si>
  <si>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</si>
  <si>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</si>
  <si>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</si>
  <si>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</si>
  <si>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</si>
  <si>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</si>
  <si>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</si>
  <si>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</si>
  <si>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</si>
  <si>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</si>
  <si>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</si>
  <si>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</si>
  <si>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</si>
  <si>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</si>
  <si>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</si>
  <si>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</si>
  <si>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</si>
  <si>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</si>
  <si>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</si>
  <si>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</si>
  <si>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</si>
  <si>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</si>
  <si>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</si>
  <si>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</si>
  <si>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</si>
  <si>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</si>
  <si>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</si>
  <si>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</si>
  <si>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</si>
  <si>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</si>
  <si>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</si>
  <si>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</si>
  <si>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</si>
  <si>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</si>
  <si>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</si>
  <si>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</si>
  <si>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</si>
  <si>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</si>
  <si>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</si>
  <si>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</si>
  <si>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</si>
  <si>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</si>
  <si>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</si>
  <si>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</si>
  <si>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</si>
  <si>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</si>
  <si>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</si>
  <si>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</si>
  <si>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</si>
  <si>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</si>
  <si>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</si>
  <si>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</si>
  <si>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</si>
  <si>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</si>
  <si>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</si>
  <si>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</si>
  <si>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</si>
  <si>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</si>
  <si>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</si>
  <si>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</si>
  <si>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</si>
  <si>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</si>
  <si>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</si>
  <si>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</si>
  <si>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</si>
  <si>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</si>
  <si>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</si>
  <si>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</si>
  <si>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</si>
  <si>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</si>
  <si>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</si>
  <si>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</si>
  <si>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</si>
  <si>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</si>
  <si>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</si>
  <si>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</si>
  <si>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</si>
  <si>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</si>
  <si>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</si>
  <si>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</si>
  <si>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</si>
  <si>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</si>
  <si>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</si>
  <si>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</si>
  <si>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</si>
  <si>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</si>
  <si>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</si>
  <si>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</si>
  <si>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</si>
  <si>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</si>
  <si>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</si>
  <si>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</si>
  <si>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</si>
  <si>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</si>
  <si>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</si>
  <si>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</si>
  <si>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</si>
  <si>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</si>
  <si>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</si>
  <si>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</si>
  <si>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</si>
  <si>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</si>
  <si>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</si>
  <si>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</si>
  <si>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</si>
  <si>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</si>
  <si>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</si>
  <si>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</si>
  <si>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</si>
  <si>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</si>
  <si>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</si>
  <si>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</si>
  <si>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</si>
  <si>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</si>
  <si>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</si>
  <si>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</si>
  <si>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</si>
  <si>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</si>
  <si>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</si>
  <si>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</si>
  <si>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</si>
  <si>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</si>
  <si>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</si>
  <si>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</si>
  <si>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</si>
  <si>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</si>
  <si>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</si>
  <si>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</si>
  <si>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</si>
  <si>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</si>
  <si>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</si>
  <si>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</si>
  <si>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</si>
  <si>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</si>
  <si>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</si>
  <si>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</si>
  <si>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</si>
  <si>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</si>
  <si>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</si>
  <si>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</si>
  <si>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</si>
  <si>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</si>
  <si>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</si>
  <si>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</si>
  <si>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</si>
  <si>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</si>
  <si>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</si>
  <si>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</si>
  <si>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</si>
  <si>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</si>
  <si>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</si>
  <si>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</si>
  <si>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</si>
  <si>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</si>
  <si>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</si>
  <si>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</si>
  <si>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</si>
  <si>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</si>
  <si>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</si>
  <si>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</si>
  <si>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</si>
  <si>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</si>
  <si>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</si>
  <si>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</si>
  <si>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</si>
  <si>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</si>
  <si>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</si>
  <si>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</si>
  <si>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</si>
  <si>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</si>
  <si>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</si>
  <si>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</si>
  <si>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</si>
  <si>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</si>
  <si>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</si>
  <si>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</si>
  <si>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</si>
  <si>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</si>
  <si>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</si>
  <si>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</si>
  <si>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</si>
  <si>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</si>
  <si>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</si>
  <si>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</si>
  <si>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</si>
  <si>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</si>
  <si>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</si>
  <si>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</si>
  <si>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</si>
  <si>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</si>
  <si>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</si>
  <si>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</si>
  <si>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</si>
  <si>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</si>
  <si>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</si>
  <si>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</si>
  <si>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</si>
  <si>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</si>
  <si>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</si>
  <si>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</si>
  <si>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</si>
  <si>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</si>
  <si>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</si>
  <si>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</si>
  <si>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</si>
  <si>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</si>
  <si>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</si>
  <si>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</si>
  <si>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</si>
  <si>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</si>
  <si>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</si>
  <si>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</si>
  <si>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</si>
  <si>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</si>
  <si>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</si>
  <si>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</si>
  <si>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</si>
  <si>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</si>
  <si>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</si>
  <si>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</si>
  <si>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</si>
  <si>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</si>
  <si>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</si>
  <si>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</si>
  <si>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</si>
  <si>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</si>
  <si>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</si>
  <si>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</si>
  <si>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</si>
  <si>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</si>
  <si>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</si>
  <si>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</si>
  <si>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</si>
  <si>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</si>
  <si>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</si>
  <si>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</si>
  <si>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</si>
  <si>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</si>
  <si>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</si>
  <si>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</si>
  <si>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</si>
  <si>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</si>
  <si>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</si>
  <si>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</si>
  <si>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</si>
  <si>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</si>
  <si>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</si>
  <si>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</si>
  <si>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</si>
  <si>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</si>
  <si>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</si>
  <si>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</si>
  <si>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</si>
  <si>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</si>
  <si>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</si>
  <si>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</si>
  <si>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</si>
  <si>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</si>
  <si>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</si>
  <si>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</si>
  <si>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</si>
  <si>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</si>
  <si>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</si>
  <si>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</si>
  <si>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</si>
  <si>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</si>
  <si>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</si>
  <si>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</si>
  <si>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</si>
  <si>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</si>
  <si>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</si>
  <si>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</si>
  <si>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</si>
  <si>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</si>
  <si>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</si>
  <si>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</si>
  <si>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</si>
  <si>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</si>
  <si>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</si>
  <si>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</si>
  <si>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</si>
  <si>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</si>
  <si>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</si>
  <si>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</si>
  <si>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</si>
  <si>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</si>
  <si>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</si>
  <si>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</si>
  <si>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</si>
  <si>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</si>
  <si>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</si>
  <si>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</si>
  <si>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</si>
  <si>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</si>
  <si>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</si>
  <si>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</si>
  <si>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</si>
  <si>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</si>
  <si>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</si>
  <si>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</si>
  <si>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</si>
  <si>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</si>
  <si>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</si>
  <si>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</si>
  <si>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</si>
  <si>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</si>
  <si>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</si>
  <si>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</si>
  <si>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</si>
  <si>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</si>
  <si>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</si>
  <si>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</si>
  <si>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</si>
  <si>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</si>
  <si>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</si>
  <si>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</si>
  <si>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</si>
  <si>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</si>
  <si>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</si>
  <si>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</si>
  <si>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</si>
  <si>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</si>
  <si>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</si>
  <si>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</si>
  <si>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</si>
  <si>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</si>
  <si>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</si>
  <si>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</si>
  <si>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</si>
  <si>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</si>
  <si>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</si>
  <si>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</si>
  <si>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</si>
  <si>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</si>
  <si>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</si>
  <si>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</si>
  <si>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</si>
  <si>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</si>
  <si>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</si>
  <si>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</si>
  <si>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</si>
  <si>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</si>
  <si>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</si>
  <si>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</si>
  <si>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</si>
  <si>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</si>
  <si>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</si>
  <si>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</si>
  <si>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</si>
  <si>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</si>
  <si>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</si>
  <si>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</si>
  <si>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</si>
  <si>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</si>
  <si>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</si>
  <si>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</si>
  <si>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</si>
  <si>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</si>
  <si>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</si>
  <si>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</si>
  <si>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</si>
  <si>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</si>
  <si>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</si>
  <si>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</si>
  <si>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</si>
  <si>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</si>
  <si>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</si>
  <si>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</si>
  <si>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</si>
  <si>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</si>
  <si>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</si>
  <si>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</si>
  <si>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</si>
  <si>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</si>
  <si>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</si>
  <si>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</si>
  <si>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</si>
  <si>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</si>
  <si>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</si>
  <si>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</si>
  <si>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</si>
  <si>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</si>
  <si>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</si>
  <si>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</si>
  <si>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</si>
  <si>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</si>
  <si>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</si>
  <si>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</si>
  <si>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</si>
  <si>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</si>
  <si>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</si>
  <si>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</si>
  <si>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</si>
  <si>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</si>
  <si>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</si>
  <si>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</si>
  <si>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</si>
  <si>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</si>
  <si>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</si>
  <si>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</si>
  <si>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</si>
  <si>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</si>
  <si>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</si>
  <si>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</si>
  <si>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</si>
  <si>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</si>
  <si>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</si>
  <si>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</si>
  <si>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</si>
  <si>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</si>
  <si>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</si>
  <si>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</si>
  <si>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</si>
  <si>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</si>
  <si>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</si>
  <si>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</si>
  <si>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</si>
  <si>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</si>
  <si>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</si>
  <si>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</si>
  <si>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</si>
  <si>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</si>
  <si>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</si>
  <si>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</si>
  <si>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</si>
  <si>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</si>
  <si>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</si>
  <si>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</si>
  <si>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</si>
  <si>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</si>
  <si>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</si>
  <si>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</si>
  <si>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</si>
  <si>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</si>
  <si>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</si>
  <si>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</si>
  <si>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</si>
  <si>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</si>
  <si>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</si>
  <si>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</si>
  <si>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</si>
  <si>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</si>
  <si>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</si>
  <si>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</si>
  <si>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</si>
  <si>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</si>
  <si>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</si>
  <si>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</si>
  <si>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</si>
  <si>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</si>
  <si>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</si>
  <si>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</si>
  <si>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</si>
  <si>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</si>
  <si>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</si>
  <si>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</si>
  <si>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</si>
  <si>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</si>
  <si>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</si>
  <si>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</si>
  <si>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</si>
  <si>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</si>
  <si>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</si>
  <si>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</si>
  <si>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</si>
  <si>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</si>
  <si>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</si>
  <si>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</si>
  <si>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</si>
  <si>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</si>
  <si>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</si>
  <si>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</si>
  <si>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</si>
  <si>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</si>
  <si>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</si>
  <si>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</si>
  <si>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</si>
  <si>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</si>
  <si>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</si>
  <si>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</si>
  <si>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</si>
  <si>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</si>
  <si>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</si>
  <si>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</si>
  <si>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</si>
  <si>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</si>
  <si>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</si>
  <si>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</si>
  <si>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</si>
  <si>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</si>
  <si>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</si>
  <si>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</si>
  <si>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</si>
  <si>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</si>
  <si>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</si>
  <si>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</si>
  <si>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</si>
  <si>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</si>
  <si>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</si>
  <si>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</si>
  <si>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</si>
  <si>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</si>
  <si>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</si>
  <si>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</si>
  <si>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</si>
  <si>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</si>
  <si>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</si>
  <si>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</si>
  <si>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</si>
  <si>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</si>
  <si>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</si>
  <si>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</si>
  <si>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</si>
  <si>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</si>
  <si>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</si>
  <si>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</si>
  <si>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</si>
  <si>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</si>
  <si>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</si>
  <si>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</si>
  <si>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</si>
  <si>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</si>
  <si>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</si>
  <si>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</si>
  <si>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</si>
  <si>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</si>
  <si>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</si>
  <si>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</si>
  <si>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</si>
  <si>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</si>
  <si>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</si>
  <si>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</si>
  <si>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</si>
  <si>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</si>
  <si>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</si>
  <si>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</si>
  <si>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</si>
  <si>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</si>
  <si>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</si>
  <si>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</si>
  <si>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</si>
  <si>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</si>
  <si>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</si>
  <si>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</si>
  <si>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</si>
  <si>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</si>
  <si>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</si>
  <si>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</si>
  <si>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</si>
  <si>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</si>
  <si>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</si>
  <si>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</si>
  <si>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</si>
  <si>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</si>
  <si>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</si>
  <si>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</si>
  <si>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</si>
  <si>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</si>
  <si>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</si>
  <si>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</si>
  <si>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</si>
  <si>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</si>
  <si>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</si>
  <si>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</si>
  <si>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</si>
  <si>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</si>
  <si>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</si>
  <si>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</si>
  <si>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</si>
  <si>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</si>
  <si>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</si>
  <si>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</si>
  <si>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</si>
  <si>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</si>
  <si>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</si>
  <si>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</si>
  <si>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</si>
  <si>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</si>
  <si>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</si>
  <si>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</si>
  <si>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</si>
  <si>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</si>
  <si>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</si>
  <si>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</si>
  <si>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</si>
  <si>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</si>
  <si>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</si>
  <si>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</si>
  <si>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</si>
  <si>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</si>
  <si>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</si>
  <si>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</si>
  <si>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</si>
  <si>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</si>
  <si>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</si>
  <si>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</si>
  <si>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</si>
  <si>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</si>
  <si>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</si>
  <si>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</si>
  <si>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</si>
  <si>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</si>
  <si>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</si>
  <si>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</si>
  <si>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</si>
  <si>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</si>
  <si>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</si>
  <si>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</si>
  <si>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</si>
  <si>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</si>
  <si>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</si>
  <si>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</si>
  <si>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</si>
  <si>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</si>
  <si>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</si>
  <si>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</si>
  <si>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</si>
  <si>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</si>
  <si>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</si>
  <si>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</si>
  <si>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</si>
  <si>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</si>
  <si>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</si>
  <si>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</si>
  <si>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</si>
  <si>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</si>
  <si>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</si>
  <si>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</si>
  <si>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</si>
  <si>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</si>
  <si>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</si>
  <si>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</si>
  <si>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</si>
  <si>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</si>
  <si>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</si>
  <si>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</si>
  <si>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</si>
  <si>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</si>
  <si>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</si>
  <si>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</si>
  <si>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</si>
  <si>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</si>
  <si>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</si>
  <si>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</si>
  <si>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</si>
  <si>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</si>
  <si>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</si>
  <si>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</si>
  <si>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</si>
  <si>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</si>
  <si>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</si>
  <si>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</si>
  <si>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</si>
  <si>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</si>
  <si>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</si>
  <si>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</si>
  <si>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</si>
  <si>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</si>
  <si>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</si>
  <si>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</si>
  <si>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</si>
  <si>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</si>
  <si>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</si>
  <si>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</si>
  <si>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</si>
  <si>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</si>
  <si>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</si>
  <si>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</si>
  <si>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</si>
  <si>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</si>
  <si>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</si>
  <si>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</si>
  <si>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</si>
  <si>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</si>
  <si>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</si>
  <si>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</si>
  <si>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</si>
  <si>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</si>
  <si>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</si>
  <si>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</si>
  <si>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</si>
  <si>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</si>
  <si>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</si>
  <si>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</si>
  <si>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</si>
  <si>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</si>
  <si>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</si>
  <si>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</si>
  <si>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</si>
  <si>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</si>
  <si>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</si>
  <si>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</si>
  <si>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</si>
  <si>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</si>
  <si>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</si>
  <si>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</si>
  <si>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</si>
  <si>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</si>
  <si>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</si>
  <si>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</si>
  <si>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</si>
  <si>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</si>
  <si>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</si>
  <si>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</si>
  <si>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</si>
  <si>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</si>
  <si>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</si>
  <si>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</si>
  <si>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</si>
  <si>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</si>
  <si>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</si>
  <si>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</si>
  <si>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</si>
  <si>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</si>
  <si>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</si>
  <si>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</si>
  <si>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</si>
  <si>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</si>
  <si>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</si>
  <si>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</si>
  <si>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</si>
  <si>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</si>
  <si>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</si>
  <si>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</si>
  <si>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</si>
  <si>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</si>
  <si>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</si>
  <si>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</si>
  <si>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</si>
  <si>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</si>
  <si>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</si>
  <si>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</si>
  <si>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</si>
  <si>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</si>
  <si>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</si>
  <si>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</si>
  <si>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</si>
  <si>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</si>
  <si>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</si>
  <si>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</si>
  <si>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</si>
  <si>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</si>
  <si>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</si>
  <si>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</si>
  <si>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</si>
  <si>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</si>
  <si>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</si>
  <si>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</si>
  <si>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</si>
  <si>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</si>
  <si>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</si>
  <si>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</si>
  <si>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</si>
  <si>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</si>
  <si>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</si>
  <si>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</si>
  <si>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</si>
  <si>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</si>
  <si>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</si>
  <si>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</si>
  <si>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</si>
  <si>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</si>
  <si>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</si>
  <si>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</si>
  <si>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</si>
  <si>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</si>
  <si>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</si>
  <si>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</si>
  <si>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</si>
  <si>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</si>
  <si>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</si>
  <si>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</si>
  <si>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</si>
  <si>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</si>
  <si>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</si>
  <si>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</si>
  <si>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</si>
  <si>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</si>
  <si>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</si>
  <si>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</si>
  <si>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</si>
  <si>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</si>
  <si>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</si>
  <si>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</si>
  <si>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</si>
  <si>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</si>
  <si>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</si>
  <si>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</si>
  <si>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</si>
  <si>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</si>
  <si>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</si>
  <si>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</si>
  <si>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</si>
  <si>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</si>
  <si>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</si>
  <si>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</si>
  <si>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</si>
  <si>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</si>
  <si>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</si>
  <si>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</si>
  <si>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</si>
  <si>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</si>
  <si>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</si>
  <si>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</si>
  <si>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</si>
  <si>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</si>
  <si>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</si>
  <si>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</si>
  <si>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</si>
  <si>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</si>
  <si>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</si>
  <si>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</si>
  <si>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</si>
  <si>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</si>
  <si>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</si>
  <si>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</si>
  <si>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</si>
  <si>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</si>
  <si>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</si>
  <si>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</si>
  <si>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</si>
  <si>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</si>
  <si>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</si>
  <si>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</si>
  <si>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</si>
  <si>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</si>
  <si>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</si>
  <si>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</si>
  <si>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</si>
  <si>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</si>
  <si>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</si>
  <si>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</si>
  <si>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</si>
  <si>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</si>
  <si>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</si>
  <si>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</si>
  <si>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</si>
  <si>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</si>
  <si>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</si>
  <si>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</si>
  <si>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</si>
  <si>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</si>
  <si>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</si>
  <si>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</si>
  <si>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</si>
  <si>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</si>
  <si>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</si>
  <si>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</si>
  <si>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</si>
  <si>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</si>
  <si>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</si>
  <si>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</si>
  <si>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</si>
  <si>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</si>
  <si>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</si>
  <si>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</si>
  <si>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</si>
  <si>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</si>
  <si>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</si>
  <si>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</si>
  <si>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</si>
  <si>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</si>
  <si>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</si>
  <si>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</si>
  <si>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</si>
  <si>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</si>
  <si>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</si>
  <si>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</si>
  <si>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</si>
  <si>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</si>
  <si>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</si>
  <si>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</si>
  <si>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</si>
  <si>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</si>
  <si>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</si>
  <si>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</si>
  <si>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</si>
  <si>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</si>
  <si>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</si>
  <si>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</si>
  <si>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</si>
  <si>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</si>
  <si>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</si>
  <si>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</si>
  <si>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</si>
  <si>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</si>
  <si>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</si>
  <si>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</si>
  <si>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</si>
  <si>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</si>
  <si>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</si>
  <si>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</si>
  <si>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</si>
  <si>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</si>
  <si>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</si>
  <si>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</si>
  <si>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</si>
  <si>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</si>
  <si>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</si>
  <si>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</si>
  <si>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</si>
  <si>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</si>
  <si>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</si>
  <si>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</si>
  <si>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</si>
  <si>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</si>
  <si>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</si>
  <si>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</si>
  <si>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</si>
  <si>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</si>
  <si>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</si>
  <si>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</si>
  <si>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</si>
  <si>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</si>
  <si>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</si>
  <si>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</si>
  <si>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</si>
  <si>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</si>
  <si>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</si>
  <si>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</si>
  <si>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</si>
  <si>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</si>
  <si>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</si>
  <si>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</si>
  <si>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</si>
  <si>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</si>
  <si>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</si>
  <si>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</si>
  <si>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</si>
  <si>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</si>
  <si>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</si>
  <si>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</si>
  <si>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</si>
  <si>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</si>
  <si>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</si>
  <si>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</si>
  <si>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</si>
  <si>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</si>
  <si>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</si>
  <si>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</si>
  <si>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</si>
  <si>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</si>
  <si>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</si>
  <si>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</si>
  <si>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</si>
  <si>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</si>
  <si>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</si>
  <si>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</si>
  <si>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</si>
  <si>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</si>
  <si>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</si>
  <si>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</si>
  <si>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</si>
  <si>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</si>
  <si>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</si>
  <si>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</si>
  <si>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</si>
  <si>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</si>
  <si>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</si>
  <si>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</si>
  <si>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</si>
  <si>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</si>
  <si>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</si>
  <si>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</si>
  <si>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</si>
  <si>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</si>
  <si>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</si>
  <si>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</si>
  <si>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</si>
  <si>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</si>
  <si>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</si>
  <si>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</si>
  <si>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</si>
  <si>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</si>
  <si>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</si>
  <si>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</si>
  <si>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</si>
  <si>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</si>
  <si>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</si>
  <si>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</si>
  <si>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</si>
  <si>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</si>
  <si>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</si>
  <si>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</si>
  <si>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</si>
  <si>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</si>
  <si>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</si>
  <si>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</si>
  <si>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</si>
  <si>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</si>
  <si>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</si>
  <si>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</si>
  <si>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</si>
  <si>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</si>
  <si>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</si>
  <si>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</si>
  <si>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</si>
  <si>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</si>
  <si>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</si>
  <si>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</si>
  <si>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</si>
  <si>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</si>
  <si>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</si>
  <si>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</si>
  <si>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</si>
  <si>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</si>
  <si>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</si>
  <si>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</si>
  <si>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</si>
  <si>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</si>
  <si>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</si>
  <si>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</si>
  <si>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</si>
  <si>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</si>
  <si>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</si>
  <si>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</si>
  <si>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</si>
  <si>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</si>
  <si>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</si>
  <si>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</si>
  <si>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</si>
  <si>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</si>
  <si>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</si>
  <si>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</si>
  <si>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</si>
  <si>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</si>
  <si>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</si>
  <si>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</si>
  <si>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</si>
  <si>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</si>
  <si>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</si>
  <si>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</si>
  <si>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</si>
  <si>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</si>
  <si>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</si>
  <si>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</si>
  <si>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</si>
  <si>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</si>
  <si>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</si>
  <si>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</si>
  <si>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</si>
  <si>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</si>
  <si>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</si>
  <si>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</si>
  <si>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</si>
  <si>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</si>
  <si>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</si>
  <si>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</si>
  <si>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</si>
  <si>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</si>
  <si>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</si>
  <si>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</si>
  <si>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</si>
  <si>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</si>
  <si>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</si>
  <si>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</si>
  <si>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</si>
  <si>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</si>
  <si>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</si>
  <si>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</si>
  <si>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</si>
  <si>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</si>
  <si>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</si>
  <si>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</si>
  <si>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</si>
  <si>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</si>
  <si>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</si>
  <si>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</si>
  <si>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</si>
  <si>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</si>
  <si>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</si>
  <si>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</si>
  <si>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</si>
  <si>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</si>
  <si>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</si>
  <si>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</si>
  <si>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</si>
  <si>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</si>
  <si>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</si>
  <si>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</si>
  <si>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</si>
  <si>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</si>
  <si>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</si>
  <si>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</si>
  <si>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</si>
  <si>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</si>
  <si>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</si>
  <si>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</si>
  <si>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</si>
  <si>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</si>
  <si>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</si>
  <si>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</si>
  <si>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</si>
  <si>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</si>
  <si>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</si>
  <si>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</si>
  <si>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</si>
  <si>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</si>
  <si>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</si>
  <si>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</si>
  <si>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</si>
  <si>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</si>
  <si>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</si>
  <si>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</si>
  <si>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</si>
  <si>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</si>
  <si>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</si>
  <si>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</si>
  <si>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</si>
  <si>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</si>
  <si>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</si>
  <si>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</si>
  <si>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</si>
  <si>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</si>
  <si>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</si>
  <si>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</si>
  <si>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</si>
  <si>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</si>
  <si>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</si>
  <si>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</si>
  <si>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</si>
  <si>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</si>
  <si>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</si>
  <si>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</si>
  <si>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</si>
  <si>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</si>
  <si>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</si>
  <si>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</si>
  <si>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</si>
  <si>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</si>
  <si>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</si>
  <si>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</si>
  <si>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</si>
  <si>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</si>
  <si>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</si>
  <si>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</si>
  <si>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</si>
  <si>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</si>
  <si>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</si>
  <si>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</si>
  <si>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</si>
  <si>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</si>
  <si>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</si>
  <si>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</si>
  <si>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</si>
  <si>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</si>
  <si>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</si>
  <si>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</si>
  <si>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</si>
  <si>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</si>
  <si>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</si>
  <si>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</si>
  <si>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</si>
  <si>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</si>
  <si>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</si>
  <si>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</si>
  <si>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</si>
  <si>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</si>
  <si>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</si>
  <si>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</si>
  <si>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</si>
  <si>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</si>
  <si>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</si>
  <si>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</si>
  <si>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</si>
  <si>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</si>
  <si>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</si>
  <si>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</si>
  <si>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</si>
  <si>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</si>
  <si>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</si>
  <si>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</si>
  <si>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</si>
  <si>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</si>
  <si>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</si>
  <si>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</si>
  <si>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</si>
  <si>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</si>
  <si>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</si>
  <si>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</si>
  <si>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</si>
  <si>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</si>
  <si>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</si>
  <si>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</si>
  <si>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</si>
  <si>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</si>
  <si>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</si>
  <si>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</si>
  <si>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</si>
  <si>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</si>
  <si>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</si>
  <si>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</si>
  <si>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</si>
  <si>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</si>
  <si>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</si>
  <si>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</si>
  <si>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</si>
  <si>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</si>
  <si>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</si>
  <si>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</si>
  <si>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</si>
  <si>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</si>
  <si>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</si>
  <si>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</si>
  <si>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</si>
  <si>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</si>
  <si>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</si>
  <si>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</si>
  <si>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</si>
  <si>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</si>
  <si>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</si>
  <si>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</si>
  <si>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</si>
  <si>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</si>
  <si>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</si>
  <si>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</si>
  <si>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</si>
  <si>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</si>
  <si>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</si>
  <si>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</si>
  <si>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</si>
  <si>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</si>
  <si>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</si>
  <si>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</si>
  <si>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</si>
  <si>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</si>
  <si>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</si>
  <si>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</si>
  <si>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</si>
  <si>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</si>
  <si>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</si>
  <si>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</si>
  <si>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</si>
  <si>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</si>
  <si>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</si>
  <si>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</si>
  <si>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</si>
  <si>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</si>
  <si>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</si>
  <si>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</si>
  <si>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</si>
  <si>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</si>
  <si>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</si>
  <si>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</si>
  <si>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</si>
  <si>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</si>
  <si>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</si>
  <si>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</si>
  <si>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</si>
  <si>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</si>
  <si>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</si>
  <si>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</si>
  <si>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</si>
  <si>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</si>
  <si>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</si>
  <si>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</si>
  <si>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</si>
  <si>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</si>
  <si>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</si>
  <si>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</si>
  <si>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</si>
  <si>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</si>
  <si>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</si>
  <si>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</si>
  <si>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</si>
  <si>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</si>
  <si>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</si>
  <si>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</si>
  <si>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</si>
  <si>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</si>
  <si>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</si>
  <si>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</si>
  <si>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</si>
  <si>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</si>
  <si>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</si>
  <si>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</si>
  <si>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</si>
  <si>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</si>
  <si>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</si>
  <si>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</si>
  <si>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</si>
  <si>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</si>
  <si>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</si>
  <si>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</si>
  <si>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</si>
  <si>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</si>
  <si>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</si>
  <si>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</si>
  <si>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</si>
  <si>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</si>
  <si>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</si>
  <si>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</si>
  <si>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</si>
  <si>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</si>
  <si>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</si>
  <si>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</si>
  <si>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</si>
  <si>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</si>
  <si>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</si>
  <si>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</si>
  <si>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</si>
  <si>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</si>
  <si>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</si>
  <si>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</si>
  <si>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</si>
  <si>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</si>
  <si>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</si>
  <si>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</si>
  <si>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</si>
  <si>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</si>
  <si>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</si>
  <si>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</si>
  <si>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</si>
  <si>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</si>
  <si>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</si>
  <si>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</si>
  <si>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</si>
  <si>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</si>
  <si>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</si>
  <si>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</si>
  <si>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</si>
  <si>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</si>
  <si>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</si>
  <si>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</si>
  <si>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</si>
  <si>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</si>
  <si>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</si>
  <si>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</si>
  <si>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</si>
  <si>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</si>
  <si>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</si>
  <si>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</si>
  <si>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</si>
  <si>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</si>
  <si>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</si>
  <si>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</si>
  <si>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</si>
  <si>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</si>
  <si>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</si>
  <si>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</si>
  <si>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</si>
  <si>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</si>
  <si>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</si>
  <si>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</si>
  <si>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</si>
  <si>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</si>
  <si>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</si>
  <si>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</si>
  <si>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</si>
  <si>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</si>
  <si>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</si>
  <si>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</si>
  <si>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</si>
  <si>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</si>
  <si>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</si>
  <si>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</si>
  <si>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</si>
  <si>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</si>
  <si>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</si>
  <si>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</si>
  <si>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</si>
  <si>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</si>
  <si>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</si>
  <si>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</si>
  <si>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</si>
  <si>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</si>
  <si>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</si>
  <si>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</si>
  <si>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</si>
  <si>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</si>
  <si>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</si>
  <si>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</si>
  <si>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</si>
  <si>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</si>
  <si>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</si>
  <si>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</si>
  <si>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</si>
  <si>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</si>
  <si>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</si>
  <si>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</si>
  <si>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</si>
  <si>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</si>
  <si>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</si>
  <si>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</si>
  <si>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</si>
  <si>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</si>
  <si>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</si>
  <si>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</si>
  <si>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</si>
  <si>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</si>
  <si>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</si>
  <si>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</si>
  <si>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</si>
  <si>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</si>
  <si>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</si>
  <si>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</si>
  <si>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</si>
  <si>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</si>
  <si>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</si>
  <si>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</si>
  <si>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</si>
  <si>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</si>
  <si>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</si>
  <si>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</si>
  <si>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</si>
  <si>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</si>
  <si>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</si>
  <si>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</si>
  <si>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</si>
  <si>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</si>
  <si>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</si>
  <si>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</si>
  <si>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</si>
  <si>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</si>
  <si>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</si>
  <si>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</si>
  <si>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</si>
  <si>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</si>
  <si>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</si>
  <si>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</si>
  <si>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</si>
  <si>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</si>
  <si>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</si>
  <si>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</si>
  <si>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</si>
  <si>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</si>
  <si>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</si>
  <si>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</si>
  <si>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</si>
  <si>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</si>
  <si>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</si>
  <si>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</si>
  <si>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</si>
  <si>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</si>
  <si>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</si>
  <si>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</si>
  <si>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</si>
  <si>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</si>
  <si>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</si>
  <si>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</si>
  <si>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</si>
  <si>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</si>
  <si>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</si>
  <si>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</si>
  <si>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</si>
  <si>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</si>
  <si>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</si>
  <si>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</si>
  <si>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</si>
  <si>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</si>
  <si>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</si>
  <si>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</si>
  <si>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</si>
  <si>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</si>
  <si>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</si>
  <si>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</si>
  <si>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</si>
  <si>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</si>
  <si>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</si>
  <si>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</si>
  <si>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</si>
  <si>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</si>
  <si>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</si>
  <si>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</si>
  <si>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</si>
  <si>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</si>
  <si>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</si>
  <si>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</si>
  <si>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</si>
  <si>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</si>
  <si>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</si>
  <si>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</si>
  <si>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</si>
  <si>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</si>
  <si>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</si>
  <si>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</si>
  <si>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</si>
  <si>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</si>
  <si>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</si>
  <si>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</si>
  <si>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</si>
  <si>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</si>
  <si>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</si>
  <si>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</si>
  <si>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</si>
  <si>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</si>
  <si>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</si>
  <si>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</si>
  <si>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</si>
  <si>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</si>
  <si>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</si>
  <si>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</si>
  <si>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</si>
  <si>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</si>
  <si>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</si>
  <si>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</si>
  <si>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</si>
  <si>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</si>
  <si>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</si>
  <si>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</si>
  <si>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</si>
  <si>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</si>
  <si>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</si>
  <si>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</si>
  <si>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</si>
  <si>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</si>
  <si>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</si>
  <si>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</si>
  <si>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</si>
  <si>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</si>
  <si>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</si>
  <si>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</si>
  <si>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</si>
  <si>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</si>
  <si>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</si>
  <si>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</si>
  <si>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</si>
  <si>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</si>
  <si>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</si>
  <si>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</si>
  <si>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</si>
  <si>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</si>
  <si>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</si>
  <si>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</si>
  <si>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</si>
  <si>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</si>
  <si>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</si>
  <si>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</si>
  <si>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</si>
  <si>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</si>
  <si>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</si>
  <si>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</si>
  <si>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</si>
  <si>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</si>
  <si>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</si>
  <si>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</si>
  <si>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</si>
  <si>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</si>
  <si>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</si>
  <si>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</si>
  <si>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</si>
  <si>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</si>
  <si>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</si>
  <si>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</si>
  <si>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</si>
  <si>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</si>
  <si>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</si>
  <si>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</si>
  <si>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</si>
  <si>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</si>
  <si>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</si>
  <si>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</si>
  <si>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</si>
  <si>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</si>
  <si>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</si>
  <si>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</si>
  <si>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</si>
  <si>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</si>
  <si>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</si>
  <si>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</si>
  <si>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</si>
  <si>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</si>
  <si>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</si>
  <si>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</si>
  <si>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</si>
  <si>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</si>
  <si>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</si>
  <si>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</si>
  <si>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</si>
  <si>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</si>
  <si>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</si>
  <si>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</si>
  <si>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</si>
  <si>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</si>
  <si>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</si>
  <si>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</si>
  <si>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</si>
  <si>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</si>
  <si>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</si>
  <si>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</si>
  <si>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</si>
  <si>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</si>
  <si>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</si>
  <si>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</si>
  <si>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</si>
  <si>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</si>
  <si>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</si>
  <si>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</si>
  <si>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</si>
  <si>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</si>
  <si>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</si>
  <si>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</si>
  <si>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</si>
  <si>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</si>
  <si>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</si>
  <si>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</si>
  <si>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</si>
  <si>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</si>
  <si>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</si>
  <si>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</si>
  <si>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</si>
  <si>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</si>
  <si>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</si>
  <si>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</si>
  <si>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</si>
  <si>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</si>
  <si>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</si>
  <si>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</si>
  <si>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</si>
  <si>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</si>
  <si>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</si>
  <si>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</si>
  <si>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</si>
  <si>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</si>
  <si>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</si>
  <si>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</si>
  <si>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</si>
  <si>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</si>
  <si>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</si>
  <si>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</si>
  <si>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</si>
  <si>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</si>
  <si>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</si>
  <si>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</si>
  <si>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</si>
  <si>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</si>
  <si>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</si>
  <si>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</si>
  <si>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</si>
  <si>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</si>
  <si>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</si>
  <si>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</si>
  <si>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</si>
  <si>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</si>
  <si>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</si>
  <si>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</si>
  <si>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</si>
  <si>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</si>
  <si>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</si>
  <si>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</si>
  <si>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</si>
  <si>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</si>
  <si>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</si>
  <si>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</si>
  <si>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</si>
  <si>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</si>
  <si>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</si>
  <si>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</si>
  <si>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</si>
  <si>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</si>
  <si>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</si>
  <si>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</si>
  <si>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</si>
  <si>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</si>
  <si>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</si>
  <si>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</si>
  <si>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</si>
  <si>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</si>
  <si>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</si>
  <si>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</si>
  <si>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</si>
  <si>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</si>
  <si>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</si>
  <si>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</si>
  <si>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</si>
  <si>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</si>
  <si>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</si>
  <si>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</si>
  <si>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</si>
  <si>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</si>
  <si>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</si>
  <si>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</si>
  <si>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</si>
  <si>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</si>
  <si>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</si>
  <si>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</si>
  <si>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</si>
  <si>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</si>
  <si>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</si>
  <si>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</si>
  <si>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</si>
  <si>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</si>
  <si>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</si>
  <si>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</si>
  <si>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</si>
  <si>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</si>
  <si>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</si>
  <si>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</si>
  <si>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</si>
  <si>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</si>
  <si>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</si>
  <si>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</si>
  <si>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</si>
  <si>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</si>
  <si>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</si>
  <si>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</si>
  <si>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</si>
  <si>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</si>
  <si>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</si>
  <si>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</si>
  <si>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</si>
  <si>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</si>
  <si>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</si>
  <si>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</si>
  <si>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</si>
  <si>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</si>
  <si>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</si>
  <si>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</si>
  <si>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</si>
  <si>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</si>
  <si>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</si>
  <si>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</si>
  <si>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</si>
  <si>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</si>
  <si>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</si>
  <si>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</si>
  <si>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</si>
  <si>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</si>
  <si>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</si>
  <si>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</si>
  <si>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</si>
  <si>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</si>
  <si>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</si>
  <si>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</si>
  <si>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</si>
  <si>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</si>
  <si>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</si>
  <si>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</si>
  <si>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</si>
  <si>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</si>
  <si>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</si>
  <si>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</si>
  <si>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</si>
  <si>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</si>
  <si>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</si>
  <si>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</si>
  <si>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</si>
  <si>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</si>
  <si>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</si>
  <si>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</si>
  <si>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</si>
  <si>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</si>
  <si>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</si>
  <si>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</si>
  <si>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</si>
  <si>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</si>
  <si>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</si>
  <si>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</si>
  <si>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</si>
  <si>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</si>
  <si>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</si>
  <si>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</si>
  <si>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</si>
  <si>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</si>
  <si>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</si>
  <si>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</si>
  <si>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</si>
  <si>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</si>
  <si>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</si>
  <si>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</si>
  <si>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</si>
  <si>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</si>
  <si>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</si>
  <si>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</si>
  <si>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</si>
  <si>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</si>
  <si>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</si>
  <si>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</si>
  <si>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</si>
  <si>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</si>
  <si>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</si>
  <si>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</si>
  <si>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</si>
  <si>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</si>
  <si>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</si>
  <si>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</si>
  <si>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</si>
  <si>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</si>
  <si>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</si>
  <si>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</si>
  <si>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</si>
  <si>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</si>
  <si>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</si>
  <si>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</si>
  <si>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</si>
  <si>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</si>
  <si>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</si>
  <si>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</si>
  <si>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</si>
  <si>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</si>
  <si>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</si>
  <si>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</si>
  <si>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</si>
  <si>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</si>
  <si>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</si>
  <si>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</si>
  <si>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</si>
  <si>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</si>
  <si>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</si>
  <si>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</si>
  <si>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</si>
  <si>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</si>
  <si>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</si>
  <si>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</si>
  <si>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</si>
  <si>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</si>
  <si>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</si>
  <si>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</si>
  <si>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</si>
  <si>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</si>
  <si>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</si>
  <si>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</si>
  <si>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</si>
  <si>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</si>
  <si>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</si>
  <si>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</si>
  <si>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</si>
  <si>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</si>
  <si>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</si>
  <si>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</si>
  <si>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</si>
  <si>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</si>
  <si>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</si>
  <si>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</si>
  <si>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</si>
  <si>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</si>
  <si>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</si>
  <si>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</si>
  <si>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</si>
  <si>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</si>
  <si>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</si>
  <si>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</si>
  <si>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</si>
  <si>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</si>
  <si>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</si>
  <si>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</si>
  <si>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</si>
  <si>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</si>
  <si>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</si>
  <si>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</si>
  <si>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</si>
  <si>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</si>
  <si>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</si>
  <si>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</si>
  <si>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</si>
  <si>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</si>
  <si>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</si>
  <si>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</si>
  <si>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</si>
  <si>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</si>
  <si>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</si>
  <si>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</si>
  <si>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</si>
  <si>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</si>
  <si>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</si>
  <si>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</si>
  <si>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</si>
  <si>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</si>
  <si>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</si>
  <si>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</si>
  <si>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</si>
  <si>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</si>
  <si>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</si>
  <si>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</si>
  <si>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</si>
  <si>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</si>
  <si>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</si>
  <si>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</si>
  <si>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</si>
  <si>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</si>
  <si>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</si>
  <si>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</si>
  <si>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</si>
  <si>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</si>
  <si>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</si>
  <si>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</si>
  <si>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</si>
  <si>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</si>
  <si>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</si>
  <si>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</si>
  <si>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</si>
  <si>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</si>
  <si>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</si>
  <si>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</si>
  <si>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</si>
  <si>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</si>
  <si>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</si>
  <si>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</si>
  <si>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</si>
  <si>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</si>
  <si>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</si>
  <si>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</si>
  <si>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</si>
  <si>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</si>
  <si>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</si>
  <si>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</si>
  <si>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</si>
  <si>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</si>
  <si>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</si>
  <si>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</si>
  <si>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</si>
  <si>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</si>
  <si>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</si>
  <si>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</si>
  <si>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</si>
  <si>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</si>
  <si>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</si>
  <si>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</si>
  <si>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</si>
  <si>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</si>
  <si>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</si>
  <si>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</si>
  <si>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</si>
  <si>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</si>
  <si>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</si>
  <si>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</si>
  <si>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</si>
  <si>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</si>
  <si>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</si>
  <si>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</si>
  <si>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</si>
  <si>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</si>
  <si>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</si>
  <si>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</si>
  <si>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</si>
  <si>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</si>
  <si>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</si>
  <si>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</si>
  <si>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</si>
  <si>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</si>
  <si>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</si>
  <si>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</si>
  <si>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</si>
  <si>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</si>
  <si>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</si>
  <si>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</si>
  <si>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</si>
  <si>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</si>
  <si>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</si>
  <si>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</si>
  <si>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</si>
  <si>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</si>
  <si>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</si>
  <si>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</si>
  <si>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</si>
  <si>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</si>
  <si>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</si>
  <si>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</si>
  <si>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</si>
  <si>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</si>
  <si>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</si>
  <si>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</si>
  <si>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</si>
  <si>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</si>
  <si>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</si>
  <si>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</si>
  <si>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</si>
  <si>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</si>
  <si>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</si>
  <si>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</si>
  <si>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</si>
  <si>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</si>
  <si>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</si>
  <si>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</si>
  <si>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</si>
  <si>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</si>
  <si>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</si>
  <si>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</si>
  <si>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</si>
  <si>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</si>
  <si>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</si>
  <si>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</si>
  <si>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</si>
  <si>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</si>
  <si>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</si>
  <si>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</si>
  <si>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</si>
  <si>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</si>
  <si>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</si>
  <si>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</si>
  <si>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</si>
  <si>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</si>
  <si>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</si>
  <si>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</si>
  <si>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</si>
  <si>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</si>
  <si>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</si>
  <si>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</si>
  <si>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</si>
  <si>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</si>
  <si>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</si>
  <si>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</si>
  <si>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</si>
  <si>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</si>
  <si>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</si>
  <si>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</si>
  <si>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</si>
  <si>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</si>
  <si>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</si>
  <si>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</si>
  <si>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</si>
  <si>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</si>
  <si>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</si>
  <si>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</si>
  <si>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</si>
  <si>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</si>
  <si>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</si>
  <si>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</si>
  <si>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</si>
  <si>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</si>
  <si>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</si>
  <si>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</si>
  <si>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</si>
  <si>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</si>
  <si>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</si>
  <si>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</si>
  <si>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</si>
  <si>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</si>
  <si>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</si>
  <si>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</si>
  <si>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</si>
  <si>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</si>
  <si>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</si>
  <si>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</si>
  <si>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</si>
  <si>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</si>
  <si>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</si>
  <si>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</si>
  <si>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</si>
  <si>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</si>
  <si>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</si>
  <si>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</si>
  <si>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</si>
  <si>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</si>
  <si>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</si>
  <si>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</si>
  <si>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</si>
  <si>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</si>
  <si>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</si>
  <si>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</si>
  <si>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</si>
  <si>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</si>
  <si>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</si>
  <si>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</si>
  <si>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</si>
  <si>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</si>
  <si>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</si>
  <si>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</si>
  <si>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</si>
  <si>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</si>
  <si>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</si>
  <si>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</si>
  <si>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</si>
  <si>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</si>
  <si>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</si>
  <si>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</si>
  <si>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</si>
  <si>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</si>
  <si>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</si>
  <si>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</si>
  <si>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</si>
  <si>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</si>
  <si>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</si>
  <si>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</si>
  <si>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</si>
  <si>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</si>
  <si>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</si>
  <si>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</si>
  <si>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</si>
  <si>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</si>
  <si>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</si>
  <si>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</si>
  <si>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</si>
  <si>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</si>
  <si>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</si>
  <si>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</si>
  <si>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</si>
  <si>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</si>
  <si>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</si>
  <si>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</si>
  <si>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</si>
  <si>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</si>
  <si>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</si>
  <si>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</si>
  <si>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</si>
  <si>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</si>
  <si>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</si>
  <si>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</si>
  <si>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</si>
  <si>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</si>
  <si>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</si>
  <si>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</si>
  <si>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</si>
  <si>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</si>
  <si>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</si>
  <si>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</si>
  <si>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</si>
  <si>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</si>
  <si>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</si>
  <si>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</si>
  <si>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</si>
  <si>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</si>
  <si>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</si>
  <si>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</si>
  <si>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</si>
  <si>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</si>
  <si>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</si>
  <si>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</si>
  <si>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</si>
  <si>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</si>
  <si>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</si>
  <si>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</si>
  <si>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</si>
  <si>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</si>
  <si>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</si>
  <si>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</si>
  <si>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</si>
  <si>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</si>
  <si>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</si>
  <si>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</si>
  <si>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</si>
  <si>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</si>
  <si>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</si>
  <si>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</si>
  <si>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</si>
  <si>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</si>
  <si>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</si>
  <si>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</si>
  <si>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</si>
  <si>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</si>
  <si>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</si>
  <si>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</si>
  <si>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</si>
  <si>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</si>
  <si>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</si>
  <si>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</si>
  <si>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</si>
  <si>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</si>
  <si>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</si>
  <si>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</si>
  <si>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</si>
  <si>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</si>
  <si>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</si>
  <si>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</si>
  <si>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</si>
  <si>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</si>
  <si>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</si>
  <si>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</si>
  <si>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</si>
  <si>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</si>
  <si>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</si>
  <si>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</si>
  <si>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</si>
  <si>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</si>
  <si>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</si>
  <si>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</si>
  <si>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</si>
  <si>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</si>
  <si>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</si>
  <si>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</si>
  <si>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</si>
  <si>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</si>
  <si>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</si>
  <si>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</si>
  <si>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</si>
  <si>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</si>
  <si>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</si>
  <si>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</si>
  <si>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</si>
  <si>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</si>
  <si>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</si>
  <si>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</si>
  <si>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</si>
  <si>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</si>
  <si>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</si>
  <si>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</si>
  <si>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</si>
  <si>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</si>
  <si>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</si>
  <si>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</si>
  <si>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</si>
  <si>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</si>
  <si>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</si>
  <si>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</si>
  <si>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</si>
  <si>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</si>
  <si>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</si>
  <si>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</si>
  <si>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</si>
  <si>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</si>
  <si>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</si>
  <si>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</si>
  <si>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</si>
  <si>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</si>
  <si>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</si>
  <si>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</si>
  <si>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</si>
  <si>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</si>
  <si>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</si>
  <si>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</si>
  <si>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</si>
  <si>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</si>
  <si>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</si>
  <si>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</si>
  <si>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</si>
  <si>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</si>
  <si>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</si>
  <si>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</si>
  <si>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</si>
  <si>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</si>
  <si>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</si>
  <si>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</si>
  <si>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</si>
  <si>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</si>
  <si>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</si>
  <si>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</si>
  <si>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</si>
  <si>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</si>
  <si>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</si>
  <si>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</si>
  <si>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</si>
  <si>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</si>
  <si>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</si>
  <si>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</si>
  <si>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</si>
  <si>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</si>
  <si>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</si>
  <si>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</si>
  <si>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</si>
  <si>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</si>
  <si>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</si>
  <si>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</si>
  <si>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</si>
  <si>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</si>
  <si>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</si>
  <si>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</si>
  <si>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</si>
  <si>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</si>
  <si>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</si>
  <si>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</si>
  <si>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</si>
  <si>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</si>
  <si>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</si>
  <si>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</si>
  <si>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</si>
  <si>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</si>
  <si>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</si>
  <si>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</si>
  <si>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</si>
  <si>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</si>
  <si>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</si>
  <si>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</si>
  <si>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</si>
  <si>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</si>
  <si>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</si>
  <si>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</si>
  <si>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</si>
  <si>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</si>
  <si>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</si>
  <si>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</si>
  <si>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</si>
  <si>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</si>
  <si>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</si>
  <si>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</si>
  <si>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</si>
  <si>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</si>
  <si>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</si>
  <si>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</si>
  <si>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</si>
  <si>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</si>
  <si>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</si>
  <si>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</si>
  <si>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</si>
  <si>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</si>
  <si>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</si>
  <si>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</si>
  <si>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</si>
  <si>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</si>
  <si>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</si>
  <si>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</si>
  <si>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</si>
  <si>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</si>
  <si>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</si>
  <si>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</si>
  <si>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</si>
  <si>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</si>
  <si>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</si>
  <si>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</si>
  <si>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</si>
  <si>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</si>
  <si>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</si>
  <si>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</si>
  <si>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</si>
  <si>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</si>
  <si>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</si>
  <si>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</si>
  <si>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</si>
  <si>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</si>
  <si>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</si>
  <si>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</si>
  <si>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</si>
  <si>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</si>
  <si>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</si>
  <si>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</si>
  <si>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</si>
  <si>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</si>
  <si>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</si>
  <si>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</si>
  <si>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</si>
  <si>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</si>
  <si>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</si>
  <si>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</si>
  <si>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</si>
  <si>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</si>
  <si>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</si>
  <si>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</si>
  <si>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</si>
  <si>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</si>
  <si>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</si>
  <si>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</si>
  <si>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</si>
  <si>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</si>
  <si>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</si>
  <si>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</si>
  <si>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</si>
  <si>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</si>
  <si>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</si>
  <si>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</si>
  <si>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</si>
  <si>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</si>
  <si>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</si>
  <si>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</si>
  <si>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</si>
  <si>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</si>
  <si>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</si>
  <si>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</si>
  <si>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</si>
  <si>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</si>
  <si>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</si>
  <si>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</si>
  <si>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</si>
  <si>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</si>
  <si>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</si>
  <si>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</si>
  <si>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</si>
  <si>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</si>
  <si>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</si>
  <si>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</si>
  <si>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</si>
  <si>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</si>
  <si>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</si>
  <si>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</si>
  <si>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</si>
  <si>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</si>
  <si>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</si>
  <si>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</si>
  <si>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</si>
  <si>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</si>
  <si>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</si>
  <si>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</si>
  <si>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</si>
  <si>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</si>
  <si>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</si>
  <si>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</si>
  <si>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</si>
  <si>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</si>
  <si>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</si>
  <si>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</si>
  <si>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</si>
  <si>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</si>
  <si>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</si>
  <si>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</si>
  <si>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</si>
  <si>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</si>
  <si>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</si>
  <si>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</si>
  <si>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</si>
  <si>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</si>
  <si>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</si>
  <si>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</si>
  <si>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</si>
  <si>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</si>
  <si>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</si>
  <si>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</si>
  <si>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</si>
  <si>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</si>
  <si>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</si>
  <si>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</si>
  <si>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</si>
  <si>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</si>
  <si>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</si>
  <si>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</si>
  <si>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</si>
  <si>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</si>
  <si>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</si>
  <si>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</si>
  <si>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</si>
  <si>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</si>
  <si>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</si>
  <si>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</si>
  <si>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</si>
  <si>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</si>
  <si>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</si>
  <si>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</si>
  <si>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</si>
  <si>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</si>
  <si>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</si>
  <si>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</si>
  <si>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</si>
  <si>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</si>
  <si>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</si>
  <si>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</si>
  <si>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</si>
  <si>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</si>
  <si>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</si>
  <si>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</si>
  <si>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</si>
  <si>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</si>
  <si>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</si>
  <si>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</si>
  <si>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</si>
  <si>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</si>
  <si>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</si>
  <si>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</si>
  <si>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</si>
  <si>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</si>
  <si>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</si>
  <si>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</si>
  <si>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</si>
  <si>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</si>
  <si>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</si>
  <si>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</si>
  <si>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</si>
  <si>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</si>
  <si>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</si>
  <si>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</si>
  <si>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</si>
  <si>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</si>
  <si>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</si>
  <si>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</si>
  <si>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</si>
  <si>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</si>
  <si>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</si>
  <si>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</si>
  <si>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</si>
  <si>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</si>
  <si>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</si>
  <si>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</si>
  <si>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</si>
  <si>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</si>
  <si>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</si>
  <si>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</si>
  <si>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</si>
  <si>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</si>
  <si>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</si>
  <si>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</si>
  <si>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</si>
  <si>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</si>
  <si>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</si>
  <si>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</si>
  <si>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</si>
  <si>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</si>
  <si>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</si>
  <si>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</si>
  <si>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</si>
  <si>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</si>
  <si>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</si>
  <si>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</si>
  <si>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</si>
  <si>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</si>
  <si>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</si>
  <si>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</si>
  <si>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</si>
  <si>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</si>
  <si>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</si>
  <si>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</si>
  <si>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</si>
  <si>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</si>
  <si>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</si>
  <si>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</si>
  <si>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</si>
  <si>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</si>
  <si>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</si>
  <si>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</si>
  <si>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</si>
  <si>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</si>
  <si>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</si>
  <si>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</si>
  <si>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</si>
  <si>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</si>
  <si>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</si>
  <si>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</si>
  <si>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</si>
  <si>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</si>
  <si>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</si>
  <si>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</si>
  <si>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</si>
  <si>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</si>
  <si>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</si>
  <si>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</si>
  <si>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</si>
  <si>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</si>
  <si>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</si>
  <si>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</si>
  <si>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</si>
  <si>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</si>
  <si>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</si>
  <si>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</si>
  <si>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</si>
  <si>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</si>
  <si>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</si>
  <si>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</si>
  <si>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</si>
  <si>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</si>
  <si>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</si>
  <si>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</si>
  <si>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</si>
  <si>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</si>
  <si>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</si>
  <si>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</si>
  <si>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</si>
  <si>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</si>
  <si>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</si>
  <si>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</si>
  <si>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</si>
  <si>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</si>
  <si>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</si>
  <si>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</si>
  <si>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</si>
  <si>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</si>
  <si>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</si>
  <si>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</si>
  <si>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</si>
  <si>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</si>
  <si>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</si>
  <si>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</si>
  <si>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</si>
  <si>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</si>
  <si>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</si>
  <si>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</si>
  <si>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</si>
  <si>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</si>
  <si>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</si>
  <si>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</si>
  <si>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</si>
  <si>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</si>
  <si>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</si>
  <si>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</si>
  <si>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</si>
  <si>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</si>
  <si>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</si>
  <si>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</si>
  <si>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</si>
  <si>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</si>
  <si>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</si>
  <si>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</si>
  <si>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</si>
  <si>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</si>
  <si>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</si>
  <si>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</si>
  <si>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</si>
  <si>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</si>
  <si>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</si>
  <si>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</si>
  <si>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</si>
  <si>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</si>
  <si>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</si>
  <si>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</si>
  <si>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</si>
  <si>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</si>
  <si>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</si>
  <si>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</si>
  <si>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</si>
  <si>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</si>
  <si>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</si>
  <si>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</si>
  <si>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</si>
  <si>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</si>
  <si>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</si>
  <si>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</si>
  <si>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</si>
  <si>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</si>
  <si>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</si>
  <si>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</si>
  <si>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</si>
  <si>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</si>
  <si>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</si>
  <si>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</si>
  <si>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</si>
  <si>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</si>
  <si>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</si>
  <si>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</si>
  <si>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</si>
  <si>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</si>
  <si>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</si>
  <si>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</si>
  <si>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</si>
  <si>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</si>
  <si>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</si>
  <si>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</si>
  <si>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</si>
  <si>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</si>
  <si>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</si>
  <si>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</si>
  <si>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</si>
  <si>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</si>
  <si>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</si>
  <si>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</si>
  <si>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</si>
  <si>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</si>
  <si>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</si>
  <si>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</si>
  <si>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</si>
  <si>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</si>
  <si>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</si>
  <si>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</si>
  <si>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</si>
  <si>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</si>
  <si>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</si>
  <si>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</si>
  <si>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</si>
  <si>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</si>
  <si>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</si>
  <si>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</si>
  <si>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</si>
  <si>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</si>
  <si>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</si>
  <si>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</si>
  <si>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</si>
  <si>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</si>
  <si>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</si>
  <si>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</si>
  <si>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</si>
  <si>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</si>
  <si>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</si>
  <si>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</si>
  <si>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</si>
  <si>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</si>
  <si>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</si>
  <si>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</si>
  <si>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</si>
  <si>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</si>
  <si>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</si>
  <si>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</si>
  <si>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</si>
  <si>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</si>
  <si>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</si>
  <si>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</si>
  <si>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</si>
  <si>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</si>
  <si>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</si>
  <si>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</si>
  <si>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</si>
  <si>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</si>
  <si>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</si>
  <si>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</si>
  <si>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</si>
  <si>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</si>
  <si>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</si>
  <si>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</si>
  <si>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</si>
  <si>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</si>
  <si>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</si>
  <si>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</si>
  <si>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</si>
  <si>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</si>
  <si>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</si>
  <si>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</si>
  <si>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</si>
  <si>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</si>
  <si>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</si>
  <si>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</si>
  <si>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</si>
  <si>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</si>
  <si>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</si>
  <si>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</si>
  <si>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</si>
  <si>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</si>
  <si>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</si>
  <si>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</si>
  <si>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</si>
  <si>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</si>
  <si>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</si>
  <si>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</si>
  <si>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</si>
  <si>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</si>
  <si>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</si>
  <si>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</si>
  <si>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</si>
  <si>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</si>
  <si>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</si>
  <si>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</si>
  <si>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</si>
  <si>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</si>
  <si>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</si>
  <si>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</si>
  <si>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</si>
  <si>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</si>
  <si>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</si>
  <si>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</si>
  <si>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</si>
  <si>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</si>
  <si>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</si>
  <si>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</si>
  <si>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</si>
  <si>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</si>
  <si>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</si>
  <si>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</si>
  <si>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</si>
  <si>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</si>
  <si>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</si>
  <si>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</si>
  <si>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</si>
  <si>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</si>
  <si>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</si>
  <si>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</si>
  <si>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</si>
  <si>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</si>
  <si>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</si>
  <si>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</si>
  <si>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</si>
  <si>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</si>
  <si>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</si>
  <si>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</si>
  <si>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</si>
  <si>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</si>
  <si>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</si>
  <si>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</si>
  <si>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</si>
  <si>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</si>
  <si>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</si>
  <si>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</si>
  <si>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</si>
  <si>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</si>
  <si>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</si>
  <si>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</si>
  <si>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</si>
  <si>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</si>
  <si>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</si>
  <si>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</si>
  <si>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</si>
  <si>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</si>
  <si>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</si>
  <si>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</si>
  <si>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</si>
  <si>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</si>
  <si>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</si>
  <si>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</si>
  <si>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</si>
  <si>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</si>
  <si>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</si>
  <si>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</si>
  <si>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</si>
  <si>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</si>
  <si>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</si>
  <si>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</si>
  <si>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</si>
  <si>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</si>
  <si>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</si>
  <si>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</si>
  <si>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</si>
  <si>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</si>
  <si>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</si>
  <si>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</si>
  <si>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</si>
  <si>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</si>
  <si>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</si>
  <si>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</si>
  <si>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</si>
  <si>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</si>
  <si>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</si>
  <si>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</si>
  <si>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</si>
  <si>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</si>
  <si>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</si>
  <si>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</si>
  <si>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</si>
  <si>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</si>
  <si>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</si>
  <si>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</si>
  <si>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</si>
  <si>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</si>
  <si>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</si>
  <si>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</si>
  <si>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</si>
  <si>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</si>
  <si>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</si>
  <si>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</si>
  <si>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</si>
  <si>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</si>
  <si>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</si>
  <si>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</si>
  <si>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</si>
  <si>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</si>
  <si>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</si>
  <si>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</si>
  <si>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</si>
  <si>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</si>
  <si>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</si>
  <si>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</si>
  <si>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</si>
  <si>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</si>
  <si>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</si>
  <si>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</si>
  <si>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</si>
  <si>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</si>
  <si>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</si>
  <si>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</si>
  <si>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</si>
  <si>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</si>
  <si>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</si>
  <si>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</si>
  <si>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</si>
  <si>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</si>
  <si>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</si>
  <si>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</si>
  <si>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</si>
  <si>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</si>
  <si>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</si>
  <si>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</si>
  <si>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</si>
  <si>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</si>
  <si>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</si>
  <si>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</si>
  <si>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</si>
  <si>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</si>
  <si>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</si>
  <si>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</si>
  <si>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</si>
  <si>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</si>
  <si>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</si>
  <si>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</si>
  <si>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</si>
  <si>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</si>
  <si>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</si>
  <si>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</si>
  <si>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</si>
  <si>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</si>
  <si>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</si>
  <si>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</si>
  <si>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</si>
  <si>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</si>
  <si>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</si>
  <si>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</si>
  <si>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</si>
  <si>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</si>
  <si>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</si>
  <si>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</si>
  <si>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</si>
  <si>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</si>
  <si>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</si>
  <si>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</si>
  <si>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</si>
  <si>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</si>
  <si>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</si>
  <si>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</si>
  <si>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</si>
  <si>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</si>
  <si>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</si>
  <si>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</si>
  <si>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</si>
  <si>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</si>
  <si>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</si>
  <si>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</si>
  <si>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</si>
  <si>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</si>
  <si>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</si>
  <si>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</si>
  <si>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</si>
  <si>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</si>
  <si>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</si>
  <si>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</si>
  <si>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</si>
  <si>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</si>
  <si>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</si>
  <si>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</si>
  <si>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</si>
  <si>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</si>
  <si>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</si>
  <si>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</si>
  <si>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</si>
  <si>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</si>
  <si>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</si>
  <si>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</si>
  <si>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</si>
  <si>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</si>
  <si>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</si>
  <si>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</si>
  <si>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</si>
  <si>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</si>
  <si>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</si>
  <si>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</si>
  <si>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</si>
  <si>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</si>
  <si>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</si>
  <si>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</si>
  <si>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</si>
  <si>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</si>
  <si>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</si>
  <si>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</si>
  <si>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</si>
  <si>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</si>
  <si>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</si>
  <si>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</si>
  <si>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</si>
  <si>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</si>
  <si>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</si>
  <si>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</si>
  <si>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</si>
  <si>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</si>
  <si>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</si>
  <si>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</si>
  <si>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</si>
  <si>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</si>
  <si>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</si>
  <si>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</si>
  <si>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</si>
  <si>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</si>
  <si>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</si>
  <si>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</si>
  <si>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</si>
  <si>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</si>
  <si>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</si>
  <si>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</si>
  <si>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</si>
  <si>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</si>
  <si>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</si>
  <si>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</si>
  <si>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</si>
  <si>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</si>
  <si>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</si>
  <si>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</si>
  <si>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</si>
  <si>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</si>
  <si>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</si>
  <si>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</si>
  <si>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</si>
  <si>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</si>
  <si>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</si>
  <si>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</si>
  <si>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</si>
  <si>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</si>
  <si>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</si>
  <si>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</si>
  <si>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</si>
  <si>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</si>
  <si>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</si>
  <si>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</si>
  <si>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</si>
  <si>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</si>
  <si>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</si>
  <si>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</si>
  <si>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</si>
  <si>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</si>
  <si>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</si>
  <si>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</si>
  <si>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</si>
  <si>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</si>
  <si>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</si>
  <si>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</si>
  <si>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</si>
  <si>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</si>
  <si>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</si>
  <si>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</si>
  <si>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</si>
  <si>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</si>
  <si>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</si>
  <si>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</si>
  <si>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</si>
  <si>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</si>
  <si>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</si>
  <si>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</si>
  <si>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</si>
  <si>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</si>
  <si>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</si>
  <si>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</si>
  <si>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</si>
  <si>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</si>
  <si>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</si>
  <si>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</si>
  <si>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</si>
  <si>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</si>
  <si>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</si>
  <si>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</si>
  <si>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</si>
  <si>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</si>
  <si>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</si>
  <si>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</si>
  <si>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</si>
  <si>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</si>
  <si>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</si>
  <si>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</si>
  <si>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</si>
  <si>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</si>
  <si>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</si>
  <si>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</si>
  <si>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</si>
  <si>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</si>
  <si>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</si>
  <si>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</si>
  <si>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</si>
  <si>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</si>
  <si>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</si>
  <si>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</si>
  <si>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</si>
  <si>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</si>
  <si>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</si>
  <si>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</si>
  <si>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</si>
  <si>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</si>
  <si>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</si>
  <si>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</si>
  <si>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</si>
  <si>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</si>
  <si>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</si>
  <si>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</si>
  <si>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</si>
  <si>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</si>
  <si>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</si>
  <si>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</si>
  <si>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</si>
  <si>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</si>
  <si>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</si>
  <si>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</si>
  <si>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</si>
  <si>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</si>
  <si>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</si>
  <si>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</si>
  <si>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</si>
  <si>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</si>
  <si>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</si>
  <si>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</si>
  <si>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</si>
  <si>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</si>
  <si>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</si>
  <si>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</si>
  <si>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</si>
  <si>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</si>
  <si>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</si>
  <si>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</si>
  <si>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</si>
  <si>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</si>
  <si>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</si>
  <si>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</si>
  <si>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</si>
  <si>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</si>
  <si>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</si>
  <si>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</si>
  <si>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</si>
  <si>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</si>
  <si>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</si>
  <si>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</si>
  <si>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</si>
  <si>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</si>
  <si>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</si>
  <si>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</si>
  <si>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</si>
  <si>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</si>
  <si>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</si>
  <si>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</si>
  <si>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</si>
  <si>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</si>
  <si>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</si>
  <si>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</si>
  <si>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</si>
  <si>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</si>
  <si>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</si>
  <si>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</si>
  <si>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</si>
  <si>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</si>
  <si>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</si>
  <si>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</si>
  <si>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</si>
  <si>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</si>
  <si>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</si>
  <si>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</si>
  <si>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</si>
  <si>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</si>
  <si>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</si>
  <si>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</si>
  <si>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</si>
  <si>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</si>
  <si>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</si>
  <si>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</si>
  <si>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</si>
  <si>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</si>
  <si>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</si>
  <si>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</si>
  <si>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</si>
  <si>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</si>
  <si>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</si>
  <si>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</si>
  <si>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</si>
  <si>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</si>
  <si>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</si>
  <si>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</si>
  <si>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</si>
  <si>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</si>
  <si>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</si>
  <si>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</si>
  <si>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</si>
  <si>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</si>
  <si>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</si>
  <si>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</si>
  <si>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</si>
  <si>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</si>
  <si>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</si>
  <si>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</si>
  <si>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</si>
  <si>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</si>
  <si>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</si>
  <si>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</si>
  <si>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</si>
  <si>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</si>
  <si>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</si>
  <si>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</si>
  <si>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</si>
  <si>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</si>
  <si>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</si>
  <si>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</si>
  <si>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</si>
  <si>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</si>
  <si>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</si>
  <si>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</si>
  <si>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</si>
  <si>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</si>
  <si>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</si>
  <si>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</si>
  <si>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</si>
  <si>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</si>
  <si>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</si>
  <si>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</si>
  <si>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</si>
  <si>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</si>
  <si>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</si>
  <si>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</si>
  <si>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</si>
  <si>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</si>
  <si>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</si>
  <si>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</si>
  <si>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</si>
  <si>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</si>
  <si>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</si>
  <si>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</si>
  <si>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</si>
  <si>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</si>
  <si>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</si>
  <si>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</si>
  <si>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</si>
  <si>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</si>
  <si>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</si>
  <si>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</si>
  <si>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</si>
  <si>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</si>
  <si>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</si>
  <si>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</si>
  <si>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</si>
  <si>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</si>
  <si>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</si>
  <si>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</si>
  <si>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</si>
  <si>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</si>
  <si>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</si>
  <si>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</si>
  <si>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</si>
  <si>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</si>
  <si>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</si>
  <si>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</si>
  <si>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</si>
  <si>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</si>
  <si>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</si>
  <si>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</si>
  <si>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</si>
  <si>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</si>
  <si>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</si>
  <si>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</si>
  <si>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</si>
  <si>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</si>
  <si>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</si>
  <si>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</si>
  <si>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</si>
  <si>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</si>
  <si>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</si>
  <si>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</si>
  <si>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</si>
  <si>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</si>
  <si>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</si>
  <si>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</si>
  <si>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</si>
  <si>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</si>
  <si>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</si>
  <si>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</si>
  <si>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</si>
  <si>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</si>
  <si>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</si>
  <si>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</si>
  <si>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</si>
  <si>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</si>
  <si>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</si>
  <si>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</si>
  <si>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</si>
  <si>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</si>
  <si>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</si>
  <si>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</si>
  <si>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</si>
  <si>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</si>
  <si>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</si>
  <si>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</si>
  <si>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</si>
  <si>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</si>
  <si>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</si>
  <si>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</si>
  <si>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</si>
  <si>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</si>
  <si>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</si>
  <si>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</si>
  <si>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</si>
  <si>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</si>
  <si>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</si>
  <si>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</si>
  <si>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</si>
  <si>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</si>
  <si>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</si>
  <si>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</si>
  <si>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</si>
  <si>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</si>
  <si>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</si>
  <si>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</si>
  <si>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</si>
  <si>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</si>
  <si>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</si>
  <si>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</si>
  <si>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</si>
  <si>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</si>
  <si>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</si>
  <si>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</si>
  <si>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</si>
  <si>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</si>
  <si>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</si>
  <si>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</si>
  <si>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</si>
  <si>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</si>
  <si>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</si>
  <si>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</si>
  <si>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</si>
  <si>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</si>
  <si>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</si>
  <si>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</si>
  <si>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</si>
  <si>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</si>
  <si>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</si>
  <si>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</si>
  <si>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</si>
  <si>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</si>
  <si>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</si>
  <si>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</si>
  <si>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</si>
  <si>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</si>
  <si>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</si>
  <si>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</si>
  <si>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</si>
  <si>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</si>
  <si>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</si>
  <si>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</si>
  <si>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</si>
  <si>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</si>
  <si>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</si>
  <si>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</si>
  <si>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</si>
  <si>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</si>
  <si>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</si>
  <si>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</si>
  <si>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</si>
  <si>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</si>
  <si>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</si>
  <si>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</si>
  <si>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</si>
  <si>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</si>
  <si>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</si>
  <si>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</si>
  <si>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</si>
  <si>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</si>
  <si>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</si>
  <si>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</si>
  <si>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</si>
  <si>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</si>
  <si>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</si>
  <si>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</si>
  <si>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</si>
  <si>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</si>
  <si>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</si>
  <si>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</si>
  <si>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</si>
  <si>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</si>
  <si>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</si>
  <si>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</si>
  <si>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</si>
  <si>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</si>
  <si>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</si>
  <si>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</si>
  <si>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</si>
  <si>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</si>
  <si>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</si>
  <si>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</si>
  <si>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</si>
  <si>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</si>
  <si>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</si>
  <si>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</si>
  <si>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</si>
  <si>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</si>
  <si>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</si>
  <si>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</si>
  <si>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</si>
  <si>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</si>
  <si>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</si>
  <si>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</si>
  <si>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</si>
  <si>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</si>
  <si>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</si>
  <si>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</si>
  <si>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</si>
  <si>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</si>
  <si>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</si>
  <si>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</si>
  <si>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</si>
  <si>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</si>
  <si>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</si>
  <si>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</si>
  <si>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</si>
  <si>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</si>
  <si>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</si>
  <si>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</si>
  <si>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</si>
  <si>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</si>
  <si>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</si>
  <si>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</si>
  <si>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</si>
  <si>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</si>
  <si>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</si>
  <si>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</si>
  <si>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</si>
  <si>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</si>
  <si>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</si>
  <si>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</si>
  <si>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</si>
  <si>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</si>
  <si>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</si>
  <si>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</si>
  <si>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</si>
  <si>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</si>
  <si>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</si>
  <si>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</si>
  <si>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</si>
  <si>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</si>
  <si>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</si>
  <si>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</si>
  <si>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</si>
  <si>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</si>
  <si>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</si>
  <si>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</si>
  <si>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</si>
  <si>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</si>
  <si>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</si>
  <si>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</si>
  <si>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</si>
  <si>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</si>
  <si>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</si>
  <si>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</si>
  <si>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</si>
  <si>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</si>
  <si>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</si>
  <si>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</si>
  <si>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</si>
  <si>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</si>
  <si>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</si>
  <si>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</si>
  <si>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</si>
  <si>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</si>
  <si>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</si>
  <si>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</si>
  <si>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</si>
  <si>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</si>
  <si>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</si>
  <si>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</si>
  <si>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</si>
  <si>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</si>
  <si>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</si>
  <si>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</si>
  <si>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</si>
  <si>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</si>
  <si>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</si>
  <si>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</si>
  <si>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</si>
  <si>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</si>
  <si>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</si>
  <si>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</si>
  <si>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</si>
  <si>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</si>
  <si>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</si>
  <si>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</si>
  <si>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</si>
  <si>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</si>
  <si>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</si>
  <si>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</si>
  <si>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</si>
  <si>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</si>
  <si>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</si>
  <si>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</si>
  <si>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</si>
  <si>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</si>
  <si>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</si>
  <si>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</si>
  <si>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</si>
  <si>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</si>
  <si>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</si>
  <si>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</si>
  <si>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</si>
  <si>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</si>
  <si>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</si>
  <si>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</si>
  <si>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</si>
  <si>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</si>
  <si>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</si>
  <si>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</si>
  <si>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</si>
  <si>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</si>
  <si>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</si>
  <si>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</si>
  <si>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</si>
  <si>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</si>
  <si>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</si>
  <si>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</si>
  <si>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</si>
  <si>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</si>
  <si>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</si>
  <si>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</si>
  <si>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</si>
  <si>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</si>
  <si>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</si>
  <si>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</si>
  <si>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</si>
  <si>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</si>
  <si>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</si>
  <si>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</si>
  <si>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</si>
  <si>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</si>
  <si>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</si>
  <si>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</si>
  <si>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</si>
  <si>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</si>
  <si>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</si>
  <si>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</si>
  <si>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</si>
  <si>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</si>
  <si>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</si>
  <si>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</si>
  <si>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</si>
  <si>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</si>
  <si>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</si>
  <si>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</si>
  <si>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</si>
  <si>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</si>
  <si>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</si>
  <si>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</si>
  <si>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</si>
  <si>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</si>
  <si>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</si>
  <si>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</si>
  <si>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</si>
  <si>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</si>
  <si>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</si>
  <si>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</si>
  <si>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</si>
  <si>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</si>
  <si>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</si>
  <si>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</si>
  <si>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</si>
  <si>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</si>
  <si>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</si>
  <si>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</si>
  <si>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</si>
  <si>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</si>
  <si>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</si>
  <si>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</si>
  <si>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</si>
  <si>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</si>
  <si>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</si>
  <si>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</si>
  <si>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</si>
  <si>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</si>
  <si>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</si>
  <si>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</si>
  <si>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</si>
  <si>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</si>
  <si>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</si>
  <si>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</si>
  <si>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</si>
  <si>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</si>
  <si>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</si>
  <si>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</si>
  <si>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</si>
  <si>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</si>
  <si>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</si>
  <si>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</si>
  <si>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</si>
  <si>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</si>
  <si>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</si>
  <si>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</si>
  <si>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</si>
  <si>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</si>
  <si>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</si>
  <si>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</si>
  <si>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</si>
  <si>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</si>
  <si>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</si>
  <si>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</si>
  <si>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</si>
  <si>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</si>
  <si>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</si>
  <si>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</si>
  <si>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</si>
  <si>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</si>
  <si>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</si>
  <si>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</si>
  <si>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</si>
  <si>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</si>
  <si>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</si>
  <si>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</si>
  <si>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</si>
  <si>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</si>
  <si>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</si>
  <si>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</si>
  <si>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</si>
  <si>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</si>
  <si>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</si>
  <si>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</si>
  <si>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</si>
  <si>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</si>
  <si>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</si>
  <si>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</si>
  <si>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</si>
  <si>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</si>
  <si>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</si>
  <si>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</si>
  <si>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</si>
  <si>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</si>
  <si>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</si>
  <si>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</si>
  <si>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</si>
  <si>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</si>
  <si>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</si>
  <si>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</si>
  <si>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</si>
  <si>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</si>
  <si>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</si>
  <si>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</si>
  <si>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</si>
  <si>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</si>
  <si>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</si>
  <si>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</si>
  <si>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</si>
  <si>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</si>
  <si>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</si>
  <si>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</si>
  <si>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</si>
  <si>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</si>
  <si>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</si>
  <si>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</si>
  <si>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</si>
  <si>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</si>
  <si>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</si>
  <si>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</si>
  <si>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</si>
  <si>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</si>
  <si>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</si>
  <si>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</si>
  <si>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</si>
  <si>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</si>
  <si>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</si>
  <si>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</si>
  <si>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</si>
  <si>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</si>
  <si>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</si>
  <si>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</si>
  <si>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</si>
  <si>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</si>
  <si>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</si>
  <si>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</si>
  <si>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</si>
  <si>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</si>
  <si>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</si>
  <si>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</si>
  <si>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</si>
  <si>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</si>
  <si>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</si>
  <si>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</si>
  <si>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</si>
  <si>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</si>
  <si>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</si>
  <si>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</si>
  <si>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</si>
  <si>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</si>
  <si>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</si>
  <si>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</si>
  <si>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</si>
  <si>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</si>
  <si>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</si>
  <si>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</si>
  <si>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</si>
  <si>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</si>
  <si>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</si>
  <si>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</si>
  <si>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</si>
  <si>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</si>
  <si>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</si>
  <si>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</si>
  <si>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</si>
  <si>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</si>
  <si>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</si>
  <si>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</si>
  <si>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</si>
  <si>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</si>
  <si>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</si>
  <si>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</si>
  <si>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</si>
  <si>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</si>
  <si>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</si>
  <si>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</si>
  <si>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</si>
  <si>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</si>
  <si>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</si>
  <si>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</si>
  <si>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</si>
  <si>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</si>
  <si>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</si>
  <si>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</si>
  <si>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</si>
  <si>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</si>
  <si>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</si>
  <si>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</si>
  <si>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</si>
  <si>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</si>
  <si>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</si>
  <si>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</si>
  <si>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</si>
  <si>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</si>
  <si>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</si>
  <si>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</si>
  <si>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</si>
  <si>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</si>
  <si>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</si>
  <si>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</si>
  <si>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</si>
  <si>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</si>
  <si>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</si>
  <si>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</si>
  <si>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</si>
  <si>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</si>
  <si>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</si>
  <si>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</si>
  <si>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</si>
  <si>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</si>
  <si>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</si>
  <si>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</si>
  <si>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</si>
  <si>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</si>
  <si>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</si>
  <si>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</si>
  <si>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</si>
  <si>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</si>
  <si>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</si>
  <si>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</si>
  <si>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</si>
  <si>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</si>
  <si>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</si>
  <si>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</si>
  <si>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</si>
  <si>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</si>
  <si>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</si>
  <si>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</si>
  <si>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</si>
  <si>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</si>
  <si>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</si>
  <si>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</si>
  <si>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</si>
  <si>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</si>
  <si>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</si>
  <si>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</si>
  <si>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</si>
  <si>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</si>
  <si>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</si>
  <si>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</si>
  <si>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</si>
  <si>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</si>
  <si>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</si>
  <si>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</si>
  <si>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</si>
  <si>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</si>
  <si>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</si>
  <si>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</si>
  <si>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</si>
  <si>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</si>
  <si>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</si>
  <si>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</si>
  <si>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</si>
  <si>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</si>
  <si>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</si>
  <si>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</si>
  <si>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</si>
  <si>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</si>
  <si>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</si>
  <si>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</si>
  <si>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</si>
  <si>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</si>
  <si>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</si>
  <si>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</si>
  <si>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</si>
  <si>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</si>
  <si>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</si>
  <si>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</si>
  <si>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</si>
  <si>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</si>
  <si>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</si>
  <si>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</si>
  <si>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</si>
  <si>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</si>
  <si>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</si>
  <si>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</si>
  <si>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</si>
  <si>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</si>
  <si>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</si>
  <si>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</si>
  <si>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</si>
  <si>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</si>
  <si>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</si>
  <si>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</si>
  <si>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</si>
  <si>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</si>
  <si>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</si>
  <si>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</si>
  <si>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</si>
  <si>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</si>
  <si>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</si>
  <si>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</si>
  <si>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</si>
  <si>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</si>
  <si>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</si>
  <si>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</si>
  <si>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</si>
  <si>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</si>
  <si>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</si>
  <si>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</si>
  <si>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</si>
  <si>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</si>
  <si>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</si>
  <si>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</si>
  <si>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</si>
  <si>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</si>
  <si>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</si>
  <si>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</si>
  <si>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</si>
  <si>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</si>
  <si>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</si>
  <si>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</si>
  <si>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</si>
  <si>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</si>
  <si>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</si>
  <si>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</si>
  <si>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</si>
  <si>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</si>
  <si>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</si>
  <si>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</si>
  <si>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</si>
  <si>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</si>
  <si>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</si>
  <si>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</si>
  <si>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</si>
  <si>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</si>
  <si>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</si>
  <si>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</si>
  <si>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</si>
  <si>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</si>
  <si>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</si>
  <si>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</si>
  <si>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</si>
  <si>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</si>
  <si>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</si>
  <si>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</si>
  <si>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</si>
  <si>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</si>
  <si>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</si>
  <si>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</si>
  <si>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</si>
  <si>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</si>
  <si>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</si>
  <si>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</si>
  <si>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</si>
  <si>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</si>
  <si>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</si>
  <si>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</si>
  <si>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</si>
  <si>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</si>
  <si>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</si>
  <si>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</si>
  <si>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</si>
  <si>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</si>
  <si>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</si>
  <si>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</si>
  <si>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</si>
  <si>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</si>
  <si>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</si>
  <si>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</si>
  <si>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</si>
  <si>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</si>
  <si>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</si>
  <si>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</si>
  <si>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</si>
  <si>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</si>
  <si>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</si>
  <si>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</si>
  <si>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</si>
  <si>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</si>
  <si>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</si>
  <si>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</si>
  <si>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</si>
  <si>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</si>
  <si>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</si>
  <si>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</si>
  <si>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</si>
  <si>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</si>
  <si>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</si>
  <si>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</si>
  <si>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</si>
  <si>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</si>
  <si>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</si>
  <si>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</si>
  <si>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</si>
  <si>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</si>
  <si>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</si>
  <si>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</si>
  <si>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</si>
  <si>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</si>
  <si>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</si>
  <si>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</si>
  <si>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</si>
  <si>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</si>
  <si>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</si>
  <si>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</si>
  <si>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</si>
  <si>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</si>
  <si>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</si>
  <si>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</si>
  <si>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</si>
  <si>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</si>
  <si>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</si>
  <si>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</si>
  <si>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</si>
  <si>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</si>
  <si>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</si>
  <si>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</si>
  <si>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</si>
  <si>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</si>
  <si>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</si>
  <si>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</si>
  <si>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</si>
  <si>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</si>
  <si>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</si>
  <si>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</si>
  <si>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</si>
  <si>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</si>
  <si>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</si>
  <si>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</si>
  <si>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</si>
  <si>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</si>
  <si>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</si>
  <si>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</si>
  <si>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</si>
  <si>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</si>
  <si>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</si>
  <si>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</si>
  <si>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</si>
  <si>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</si>
  <si>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</si>
  <si>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</si>
  <si>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</si>
  <si>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</si>
  <si>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</si>
  <si>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</si>
  <si>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</si>
  <si>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</si>
  <si>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</si>
  <si>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</si>
  <si>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</si>
  <si>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</si>
  <si>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</si>
  <si>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</si>
  <si>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</si>
  <si>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</si>
  <si>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</si>
  <si>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</si>
  <si>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</si>
  <si>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</si>
  <si>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</si>
  <si>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</si>
  <si>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</si>
  <si>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</si>
  <si>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</si>
  <si>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</si>
  <si>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</si>
  <si>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</si>
  <si>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</si>
  <si>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</si>
  <si>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</si>
  <si>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</si>
  <si>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</si>
  <si>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</si>
  <si>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</si>
  <si>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</si>
  <si>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</si>
  <si>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</si>
  <si>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</si>
  <si>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</si>
  <si>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</si>
  <si>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</si>
  <si>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</si>
  <si>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</si>
  <si>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</si>
  <si>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</si>
  <si>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</si>
  <si>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</si>
  <si>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</si>
  <si>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</si>
  <si>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</si>
  <si>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</si>
  <si>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</si>
  <si>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</si>
  <si>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</si>
  <si>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</si>
  <si>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</si>
  <si>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</si>
  <si>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</si>
  <si>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</si>
  <si>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</si>
  <si>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</si>
  <si>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</si>
  <si>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</si>
  <si>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</si>
  <si>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</si>
  <si>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</si>
  <si>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</si>
  <si>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</si>
  <si>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</si>
  <si>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</si>
  <si>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</si>
  <si>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</si>
  <si>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</si>
  <si>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</si>
  <si>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</si>
  <si>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</si>
  <si>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</si>
  <si>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</si>
  <si>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</si>
  <si>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</si>
  <si>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</si>
  <si>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</si>
  <si>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</si>
  <si>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</si>
  <si>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</si>
  <si>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</si>
  <si>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</si>
  <si>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</si>
  <si>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</si>
  <si>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</si>
  <si>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</si>
  <si>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</si>
  <si>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</si>
  <si>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</si>
  <si>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</si>
  <si>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</si>
  <si>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</si>
  <si>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</si>
  <si>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</si>
  <si>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</si>
  <si>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</si>
  <si>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</si>
  <si>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</si>
  <si>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</si>
  <si>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</si>
  <si>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</si>
  <si>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</si>
  <si>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</si>
  <si>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</si>
  <si>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</si>
  <si>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</si>
  <si>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</si>
  <si>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</si>
  <si>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</si>
  <si>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</si>
  <si>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</si>
  <si>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</si>
  <si>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</si>
  <si>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</si>
  <si>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</si>
  <si>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</si>
  <si>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</si>
  <si>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</si>
  <si>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</si>
  <si>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</si>
  <si>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</si>
  <si>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</si>
  <si>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</si>
  <si>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</si>
  <si>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</si>
  <si>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</si>
  <si>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</si>
  <si>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</si>
  <si>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</si>
  <si>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</si>
  <si>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</si>
  <si>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</si>
  <si>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</si>
  <si>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</si>
  <si>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</si>
  <si>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</si>
  <si>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</si>
  <si>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</si>
  <si>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</si>
  <si>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</si>
  <si>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</si>
  <si>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</si>
  <si>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</si>
  <si>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</si>
  <si>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</si>
  <si>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</si>
  <si>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</si>
  <si>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</si>
  <si>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</si>
  <si>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</si>
  <si>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</si>
  <si>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</si>
  <si>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</si>
  <si>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</si>
  <si>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</si>
  <si>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</si>
  <si>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</si>
  <si>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</si>
  <si>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</si>
  <si>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</si>
  <si>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</si>
  <si>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</si>
  <si>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</si>
  <si>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</si>
  <si>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</si>
  <si>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</si>
  <si>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</si>
  <si>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</si>
  <si>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</si>
  <si>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</si>
  <si>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</si>
  <si>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</si>
  <si>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</si>
  <si>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</si>
  <si>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</si>
  <si>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</si>
  <si>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</si>
  <si>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</si>
  <si>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</si>
  <si>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</si>
  <si>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</si>
  <si>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</si>
  <si>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</si>
  <si>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</si>
  <si>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</si>
  <si>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</si>
  <si>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</si>
  <si>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</si>
  <si>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</si>
  <si>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</si>
  <si>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</si>
  <si>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</si>
  <si>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</si>
  <si>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</si>
  <si>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</si>
  <si>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</si>
  <si>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</si>
  <si>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</si>
  <si>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</si>
  <si>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</si>
  <si>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</si>
  <si>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</si>
  <si>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</si>
  <si>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</si>
  <si>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</si>
  <si>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</si>
  <si>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</si>
  <si>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</si>
  <si>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</si>
  <si>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</si>
  <si>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</si>
  <si>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</si>
  <si>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</si>
  <si>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</si>
  <si>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</si>
  <si>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</si>
  <si>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</si>
  <si>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</si>
  <si>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</si>
  <si>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</si>
  <si>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</si>
  <si>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</si>
  <si>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</si>
  <si>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</si>
  <si>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</si>
  <si>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</si>
  <si>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</si>
  <si>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</si>
  <si>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</si>
  <si>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</si>
  <si>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</si>
  <si>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</si>
  <si>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</si>
  <si>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</si>
  <si>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</si>
  <si>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</si>
  <si>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</si>
  <si>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</si>
  <si>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</si>
  <si>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</si>
  <si>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</si>
  <si>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</si>
  <si>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</si>
  <si>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</si>
  <si>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</si>
  <si>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</si>
  <si>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</si>
  <si>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</si>
  <si>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</si>
  <si>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</si>
  <si>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</si>
  <si>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</si>
  <si>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</si>
  <si>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</si>
  <si>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</si>
  <si>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</si>
  <si>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</si>
  <si>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</si>
  <si>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</si>
  <si>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</si>
  <si>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</si>
  <si>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</si>
  <si>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</si>
  <si>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</si>
  <si>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</si>
  <si>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</si>
  <si>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</si>
  <si>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</si>
  <si>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</si>
  <si>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</si>
  <si>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</si>
  <si>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</si>
  <si>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</si>
  <si>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</si>
  <si>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</si>
  <si>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</si>
  <si>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</si>
  <si>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</si>
  <si>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</si>
  <si>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</si>
  <si>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</si>
  <si>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</si>
  <si>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</si>
  <si>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</si>
  <si>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</si>
  <si>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</si>
  <si>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</si>
  <si>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</si>
  <si>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</si>
  <si>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</si>
  <si>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</si>
  <si>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</si>
  <si>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</si>
  <si>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</si>
  <si>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</si>
  <si>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</si>
  <si>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</si>
  <si>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</si>
  <si>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</si>
  <si>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</si>
  <si>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</si>
  <si>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</si>
  <si>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</si>
  <si>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</si>
  <si>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</si>
  <si>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</si>
  <si>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</si>
  <si>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</si>
  <si>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</si>
  <si>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</si>
  <si>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</si>
  <si>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</si>
  <si>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</si>
  <si>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</si>
  <si>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</si>
  <si>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</si>
  <si>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</si>
  <si>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</si>
  <si>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</si>
  <si>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</si>
  <si>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</si>
  <si>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</si>
  <si>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</si>
  <si>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</si>
  <si>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</si>
  <si>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</si>
  <si>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</si>
  <si>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</si>
  <si>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</si>
  <si>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</si>
  <si>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</si>
  <si>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</si>
  <si>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</si>
  <si>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</si>
  <si>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</si>
  <si>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</si>
  <si>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</si>
  <si>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</si>
  <si>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</si>
  <si>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</si>
  <si>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</si>
  <si>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</si>
  <si>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</si>
  <si>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</si>
  <si>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</si>
  <si>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</si>
  <si>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</si>
  <si>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</si>
  <si>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</si>
  <si>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</si>
  <si>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</si>
  <si>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</si>
  <si>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</si>
  <si>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</si>
  <si>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</si>
  <si>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</si>
  <si>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</si>
  <si>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</si>
  <si>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</si>
  <si>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</si>
  <si>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</si>
  <si>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</si>
  <si>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</si>
  <si>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</si>
  <si>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</si>
  <si>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</si>
  <si>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</si>
  <si>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</si>
  <si>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</si>
  <si>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</si>
  <si>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</si>
  <si>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</si>
  <si>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</si>
  <si>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</si>
  <si>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</si>
  <si>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</si>
  <si>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</si>
  <si>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</si>
  <si>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</si>
  <si>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</si>
  <si>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</si>
  <si>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</si>
  <si>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</si>
  <si>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</si>
  <si>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</si>
  <si>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</si>
  <si>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</si>
  <si>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</si>
  <si>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</si>
  <si>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</si>
  <si>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</si>
  <si>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</si>
  <si>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</si>
  <si>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</si>
  <si>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</si>
  <si>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</si>
  <si>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</si>
  <si>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</si>
  <si>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</si>
  <si>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</si>
  <si>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</si>
  <si>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</si>
  <si>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</si>
  <si>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</si>
  <si>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</si>
  <si>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</si>
  <si>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</si>
  <si>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</si>
  <si>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</si>
  <si>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</si>
  <si>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</si>
  <si>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</si>
  <si>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</si>
  <si>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</si>
  <si>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</si>
  <si>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</si>
  <si>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</si>
  <si>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</si>
  <si>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</si>
  <si>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</si>
  <si>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</si>
  <si>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</si>
  <si>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</si>
  <si>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</si>
  <si>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</si>
  <si>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</si>
  <si>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</si>
  <si>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</si>
  <si>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</si>
  <si>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</si>
  <si>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</si>
  <si>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</si>
  <si>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</si>
  <si>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</si>
  <si>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</si>
  <si>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</si>
  <si>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</si>
  <si>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</si>
  <si>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</si>
  <si>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</si>
  <si>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</si>
  <si>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</si>
  <si>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</si>
  <si>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</si>
  <si>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</si>
  <si>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</si>
  <si>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</si>
  <si>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</si>
  <si>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</si>
  <si>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</si>
  <si>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</si>
  <si>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</si>
  <si>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</si>
  <si>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</si>
  <si>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</si>
  <si>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</si>
  <si>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</si>
  <si>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</si>
  <si>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</si>
  <si>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</si>
  <si>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</si>
  <si>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</si>
  <si>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</si>
  <si>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</si>
  <si>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</si>
  <si>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</si>
  <si>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</si>
  <si>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</si>
  <si>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</si>
  <si>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</si>
  <si>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</si>
  <si>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</si>
  <si>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</si>
  <si>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</si>
  <si>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</si>
  <si>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</si>
  <si>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</si>
  <si>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</si>
  <si>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</si>
  <si>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</si>
  <si>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</si>
  <si>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</si>
  <si>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</si>
  <si>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</si>
  <si>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</si>
  <si>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</si>
  <si>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</si>
  <si>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</si>
  <si>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</si>
  <si>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</si>
  <si>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</si>
  <si>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</si>
  <si>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</si>
  <si>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</si>
  <si>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</si>
  <si>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</si>
  <si>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</si>
  <si>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</si>
  <si>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</si>
  <si>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</si>
  <si>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</si>
  <si>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</si>
  <si>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</si>
  <si>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</si>
  <si>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</si>
  <si>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</si>
  <si>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</si>
  <si>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</si>
  <si>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</si>
  <si>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</si>
  <si>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</si>
  <si>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</si>
  <si>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</si>
  <si>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</si>
  <si>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</si>
  <si>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</si>
  <si>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</si>
  <si>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</si>
  <si>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</si>
  <si>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</si>
  <si>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</si>
  <si>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</si>
  <si>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</si>
  <si>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</si>
  <si>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</si>
  <si>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</si>
  <si>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</si>
  <si>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</si>
  <si>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</si>
  <si>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</si>
  <si>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</si>
  <si>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</si>
  <si>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</si>
  <si>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</si>
  <si>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</si>
  <si>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</si>
  <si>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</si>
  <si>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</si>
  <si>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</si>
  <si>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</si>
  <si>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</si>
  <si>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</si>
  <si>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</si>
  <si>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</si>
  <si>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</si>
  <si>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</si>
  <si>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</si>
  <si>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</si>
  <si>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</si>
  <si>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</si>
  <si>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</si>
  <si>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</si>
  <si>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</si>
  <si>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</si>
  <si>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</si>
  <si>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</si>
  <si>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</si>
  <si>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</si>
  <si>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</si>
  <si>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</si>
  <si>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</si>
  <si>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</si>
  <si>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</si>
  <si>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</si>
  <si>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</si>
  <si>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</si>
  <si>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</si>
  <si>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</si>
  <si>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</si>
  <si>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</si>
  <si>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</si>
  <si>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</si>
  <si>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</si>
  <si>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</si>
  <si>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</si>
  <si>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</si>
  <si>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</si>
  <si>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</si>
  <si>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</si>
  <si>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</si>
  <si>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</si>
  <si>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</si>
  <si>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</si>
  <si>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</si>
  <si>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</si>
  <si>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</si>
  <si>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</si>
  <si>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</si>
  <si>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</si>
  <si>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</si>
  <si>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</si>
  <si>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</si>
  <si>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</si>
  <si>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</si>
  <si>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</si>
  <si>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</si>
  <si>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</si>
  <si>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</si>
  <si>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</si>
  <si>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</si>
  <si>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</si>
  <si>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</si>
  <si>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</si>
  <si>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</si>
  <si>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</si>
  <si>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</si>
  <si>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</si>
  <si>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</si>
  <si>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</si>
  <si>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</si>
  <si>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</si>
  <si>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</si>
  <si>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</si>
  <si>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</si>
  <si>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</si>
  <si>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</si>
  <si>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</si>
  <si>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</si>
  <si>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</si>
  <si>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</si>
  <si>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</si>
  <si>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</si>
  <si>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</si>
  <si>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</si>
  <si>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</si>
  <si>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</si>
  <si>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</si>
  <si>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</si>
  <si>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</si>
  <si>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</si>
  <si>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</si>
  <si>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</si>
  <si>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</si>
  <si>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</si>
  <si>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</si>
  <si>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</si>
  <si>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</si>
  <si>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</si>
  <si>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</si>
  <si>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</si>
  <si>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</si>
  <si>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</si>
  <si>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</si>
  <si>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</si>
  <si>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</si>
  <si>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</si>
  <si>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</si>
  <si>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</si>
  <si>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</si>
  <si>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</si>
  <si>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</si>
  <si>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</si>
  <si>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</si>
  <si>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</si>
  <si>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</si>
  <si>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</si>
  <si>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</si>
  <si>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</si>
  <si>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</si>
  <si>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</si>
  <si>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</si>
  <si>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</si>
  <si>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</si>
  <si>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</si>
  <si>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</si>
  <si>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</si>
  <si>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</si>
  <si>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</si>
  <si>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</si>
  <si>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</si>
  <si>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</si>
  <si>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</si>
  <si>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</si>
  <si>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</si>
  <si>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</si>
  <si>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</si>
  <si>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</si>
  <si>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</si>
  <si>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</si>
  <si>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</si>
  <si>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</si>
  <si>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</si>
  <si>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</si>
  <si>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</si>
  <si>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</si>
  <si>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</si>
  <si>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</si>
  <si>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</si>
  <si>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</si>
  <si>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</si>
  <si>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</si>
  <si>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</si>
  <si>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</si>
  <si>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</si>
  <si>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</si>
  <si>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</si>
  <si>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</si>
  <si>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</si>
  <si>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</si>
  <si>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</si>
  <si>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</si>
  <si>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</si>
  <si>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</si>
  <si>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</si>
  <si>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</si>
  <si>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</si>
  <si>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</si>
  <si>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</si>
  <si>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</si>
  <si>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</si>
  <si>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</si>
  <si>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</si>
  <si>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</si>
  <si>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</si>
  <si>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</si>
  <si>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</si>
  <si>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</si>
  <si>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</si>
  <si>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</si>
  <si>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</si>
  <si>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</si>
  <si>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</si>
  <si>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</si>
  <si>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</si>
  <si>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</si>
  <si>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</si>
  <si>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</si>
  <si>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</si>
  <si>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</si>
  <si>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</si>
  <si>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</si>
  <si>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</si>
  <si>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</si>
  <si>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</si>
  <si>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</si>
  <si>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</si>
  <si>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</si>
  <si>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</si>
  <si>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</si>
  <si>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</si>
  <si>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</si>
  <si>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</si>
  <si>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</si>
  <si>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</si>
  <si>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</si>
  <si>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</si>
  <si>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</si>
  <si>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</si>
  <si>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</si>
  <si>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</si>
  <si>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</si>
  <si>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</si>
  <si>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</si>
  <si>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</si>
  <si>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</si>
  <si>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</si>
  <si>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</si>
  <si>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</si>
  <si>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</si>
  <si>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</si>
  <si>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</si>
  <si>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</si>
  <si>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</si>
  <si>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</si>
  <si>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</si>
  <si>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</si>
  <si>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</si>
  <si>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</si>
  <si>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</si>
  <si>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</si>
  <si>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</si>
  <si>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</si>
  <si>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</si>
  <si>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</si>
  <si>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</si>
  <si>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</si>
  <si>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</si>
  <si>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</si>
  <si>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</si>
  <si>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</si>
  <si>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</si>
  <si>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</si>
  <si>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</si>
  <si>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</si>
  <si>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</si>
  <si>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</si>
  <si>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</si>
  <si>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</si>
  <si>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</si>
  <si>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</si>
  <si>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</si>
  <si>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</si>
  <si>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</si>
  <si>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</si>
  <si>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</si>
  <si>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</si>
  <si>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</si>
  <si>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</si>
  <si>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</si>
  <si>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</si>
  <si>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</si>
  <si>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</si>
  <si>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</si>
  <si>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</si>
  <si>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</si>
  <si>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</si>
  <si>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</si>
  <si>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</si>
  <si>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</si>
  <si>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</si>
  <si>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</si>
  <si>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</si>
  <si>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</si>
  <si>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</si>
  <si>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</si>
  <si>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</si>
  <si>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</si>
  <si>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</si>
  <si>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</si>
  <si>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</si>
  <si>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</si>
  <si>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</si>
  <si>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</si>
  <si>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</si>
  <si>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</si>
  <si>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</si>
  <si>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</si>
  <si>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</si>
  <si>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</si>
  <si>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</si>
  <si>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</si>
  <si>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</si>
  <si>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</si>
  <si>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</si>
  <si>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</si>
  <si>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</si>
  <si>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</si>
  <si>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</si>
  <si>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</si>
  <si>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</si>
  <si>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</si>
  <si>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</si>
  <si>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</si>
  <si>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</si>
  <si>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</si>
  <si>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</si>
  <si>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</si>
  <si>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</si>
  <si>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</si>
  <si>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</si>
  <si>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</si>
  <si>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</si>
  <si>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</si>
  <si>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</si>
  <si>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</si>
  <si>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</si>
  <si>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</si>
  <si>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</si>
  <si>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</si>
  <si>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</si>
  <si>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</si>
  <si>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</si>
  <si>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</si>
  <si>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</si>
  <si>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</si>
  <si>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</si>
  <si>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</si>
  <si>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</si>
  <si>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</si>
  <si>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</si>
  <si>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</si>
  <si>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</si>
  <si>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</si>
  <si>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</si>
  <si>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</si>
  <si>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</si>
  <si>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</si>
  <si>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</si>
  <si>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</si>
  <si>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</si>
  <si>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</si>
  <si>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</si>
  <si>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</si>
  <si>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</si>
  <si>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</si>
  <si>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</si>
  <si>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</si>
  <si>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</si>
  <si>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</si>
  <si>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</si>
  <si>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</si>
  <si>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</si>
  <si>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</si>
  <si>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</si>
  <si>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</si>
  <si>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</si>
  <si>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</si>
  <si>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</si>
  <si>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</si>
  <si>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</si>
  <si>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</si>
  <si>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</si>
  <si>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</si>
  <si>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</si>
  <si>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</si>
  <si>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</si>
  <si>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</si>
  <si>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</si>
  <si>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</si>
  <si>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</si>
  <si>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</si>
  <si>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</si>
  <si>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</si>
  <si>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</si>
  <si>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</si>
  <si>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</si>
  <si>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</si>
  <si>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</si>
  <si>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</si>
  <si>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</si>
  <si>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</si>
  <si>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</si>
  <si>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</si>
  <si>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</si>
  <si>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</si>
  <si>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</si>
  <si>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</si>
  <si>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</si>
  <si>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</si>
  <si>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</si>
  <si>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</si>
  <si>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</si>
  <si>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</si>
  <si>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</si>
  <si>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</si>
  <si>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</si>
  <si>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</si>
  <si>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</si>
  <si>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</si>
  <si>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</si>
  <si>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</si>
  <si>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</si>
  <si>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</si>
  <si>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</si>
  <si>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</si>
  <si>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</si>
  <si>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</si>
  <si>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</si>
  <si>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</si>
  <si>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</si>
  <si>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</si>
  <si>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</si>
  <si>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</si>
  <si>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</si>
  <si>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</si>
  <si>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</si>
  <si>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</si>
  <si>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</si>
  <si>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</si>
  <si>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</si>
  <si>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</si>
  <si>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</si>
  <si>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</si>
  <si>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</si>
  <si>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</si>
  <si>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</si>
  <si>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</si>
  <si>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</si>
  <si>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</si>
  <si>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</si>
  <si>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</si>
  <si>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</si>
  <si>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</si>
  <si>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</si>
  <si>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</si>
  <si>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</si>
  <si>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</si>
  <si>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</si>
  <si>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</si>
  <si>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</si>
  <si>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</si>
  <si>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</si>
  <si>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</si>
  <si>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</si>
  <si>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</si>
  <si>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</si>
  <si>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</si>
  <si>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</si>
  <si>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</si>
  <si>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</si>
  <si>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</si>
  <si>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</si>
  <si>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</si>
  <si>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</si>
  <si>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</si>
  <si>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</si>
  <si>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</si>
  <si>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</si>
  <si>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</si>
  <si>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</si>
  <si>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</si>
  <si>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</si>
  <si>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</si>
  <si>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</si>
  <si>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</si>
  <si>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</si>
  <si>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</si>
  <si>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</si>
  <si>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</si>
  <si>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</si>
  <si>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</si>
  <si>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</si>
  <si>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</si>
  <si>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</si>
  <si>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</si>
  <si>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</si>
  <si>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</si>
  <si>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</si>
  <si>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</si>
  <si>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</si>
  <si>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</si>
  <si>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</si>
  <si>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</si>
  <si>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</si>
  <si>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</si>
  <si>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</si>
  <si>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</si>
  <si>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</si>
  <si>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</si>
  <si>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</si>
  <si>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</si>
  <si>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</si>
  <si>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</si>
  <si>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</si>
  <si>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</si>
  <si>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</si>
  <si>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</si>
  <si>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</si>
  <si>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</si>
  <si>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</si>
  <si>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</si>
  <si>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</si>
  <si>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</si>
  <si>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</si>
  <si>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</si>
  <si>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</si>
  <si>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</si>
  <si>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</si>
  <si>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</si>
  <si>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</si>
  <si>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</si>
  <si>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</si>
  <si>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</si>
  <si>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</si>
  <si>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</si>
  <si>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</si>
  <si>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</si>
  <si>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</si>
  <si>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</si>
  <si>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</si>
  <si>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</si>
  <si>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</si>
  <si>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</si>
  <si>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</si>
  <si>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</si>
  <si>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</si>
  <si>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</si>
  <si>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</si>
  <si>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</si>
  <si>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</si>
  <si>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</si>
  <si>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</si>
  <si>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</si>
  <si>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</si>
  <si>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</si>
  <si>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</si>
  <si>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</si>
  <si>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</si>
  <si>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</si>
  <si>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</si>
  <si>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</si>
  <si>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</si>
  <si>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</si>
  <si>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</si>
  <si>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</si>
  <si>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</si>
  <si>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</si>
  <si>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</si>
  <si>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</si>
  <si>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</si>
  <si>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</si>
  <si>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</si>
  <si>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</si>
  <si>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</si>
  <si>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</si>
  <si>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</si>
  <si>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</si>
  <si>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</si>
  <si>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</si>
  <si>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</si>
  <si>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</si>
  <si>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</si>
  <si>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</si>
  <si>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</si>
  <si>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</si>
  <si>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</si>
  <si>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</si>
  <si>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</si>
  <si>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</si>
  <si>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</si>
  <si>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</si>
  <si>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</si>
  <si>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</si>
  <si>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</si>
  <si>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</si>
  <si>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</si>
  <si>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</si>
  <si>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</si>
  <si>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</si>
  <si>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</si>
  <si>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</si>
  <si>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</si>
  <si>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</si>
  <si>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</si>
  <si>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</si>
  <si>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</si>
  <si>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</si>
  <si>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</si>
  <si>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</si>
  <si>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</si>
  <si>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</si>
  <si>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</si>
  <si>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</si>
  <si>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</si>
  <si>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</si>
  <si>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</si>
  <si>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</si>
  <si>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</si>
  <si>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</si>
  <si>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</si>
  <si>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</si>
  <si>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</si>
  <si>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</si>
  <si>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</si>
  <si>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</si>
  <si>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</si>
  <si>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</si>
  <si>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</si>
  <si>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</si>
  <si>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</si>
  <si>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</si>
  <si>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</si>
  <si>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</si>
  <si>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</si>
  <si>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</si>
  <si>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</si>
  <si>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</si>
  <si>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</si>
  <si>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</si>
  <si>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</si>
  <si>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</si>
  <si>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</si>
  <si>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</si>
  <si>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</si>
  <si>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</si>
  <si>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</si>
  <si>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</si>
  <si>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</si>
  <si>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</si>
  <si>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</si>
  <si>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</si>
  <si>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</si>
  <si>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</si>
  <si>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</si>
  <si>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</si>
  <si>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</si>
  <si>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</si>
  <si>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</si>
  <si>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</si>
  <si>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</si>
  <si>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</si>
  <si>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</si>
  <si>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</si>
  <si>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</si>
  <si>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</si>
  <si>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</si>
  <si>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</si>
  <si>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</si>
  <si>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</si>
  <si>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</si>
  <si>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</si>
  <si>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</si>
  <si>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</si>
  <si>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</si>
  <si>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</si>
  <si>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</si>
  <si>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</si>
  <si>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</si>
  <si>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</si>
  <si>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</si>
  <si>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</si>
  <si>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</si>
  <si>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</si>
  <si>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</si>
  <si>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</si>
  <si>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</si>
  <si>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</si>
  <si>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</si>
  <si>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</si>
  <si>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</si>
  <si>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</si>
  <si>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</si>
  <si>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</si>
  <si>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</si>
  <si>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</si>
  <si>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</si>
  <si>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</si>
  <si>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</si>
  <si>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</si>
  <si>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</si>
  <si>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</si>
  <si>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</si>
  <si>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</si>
  <si>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</si>
  <si>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</si>
  <si>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</si>
  <si>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</si>
  <si>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</si>
  <si>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</si>
  <si>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</si>
  <si>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</si>
  <si>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</si>
  <si>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</si>
  <si>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</si>
  <si>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</si>
  <si>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</si>
  <si>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</si>
  <si>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</si>
  <si>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</si>
  <si>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</si>
  <si>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</si>
  <si>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</si>
  <si>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</si>
  <si>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</si>
  <si>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</si>
  <si>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</si>
  <si>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</si>
  <si>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</si>
  <si>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</si>
  <si>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</si>
  <si>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</si>
  <si>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</si>
  <si>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</si>
  <si>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</si>
  <si>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</si>
  <si>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</si>
  <si>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</si>
  <si>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</si>
  <si>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</si>
  <si>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</si>
  <si>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</si>
  <si>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</si>
  <si>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</si>
  <si>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</si>
  <si>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</si>
  <si>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</si>
  <si>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</si>
  <si>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</si>
  <si>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</si>
  <si>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</si>
  <si>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</si>
  <si>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</si>
  <si>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</si>
  <si>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</si>
  <si>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</si>
  <si>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</si>
  <si>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</si>
  <si>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</si>
  <si>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</si>
  <si>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</si>
  <si>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</si>
  <si>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</si>
  <si>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</si>
  <si>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</si>
  <si>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</si>
  <si>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</si>
  <si>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</si>
  <si>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</si>
  <si>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</si>
  <si>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</si>
  <si>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</si>
  <si>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</si>
  <si>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</si>
  <si>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</si>
  <si>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</si>
  <si>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</si>
  <si>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</si>
  <si>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</si>
  <si>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</si>
  <si>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</si>
  <si>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</si>
  <si>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</si>
  <si>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</si>
  <si>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</si>
  <si>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</si>
  <si>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</si>
  <si>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</si>
  <si>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</si>
  <si>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</si>
  <si>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</si>
  <si>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</si>
  <si>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</si>
  <si>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</si>
  <si>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</si>
  <si>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</si>
  <si>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</si>
  <si>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</si>
  <si>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</si>
  <si>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</si>
  <si>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</si>
  <si>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</si>
  <si>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</si>
  <si>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</si>
  <si>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</si>
  <si>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</si>
  <si>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</si>
  <si>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</si>
  <si>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</si>
  <si>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</si>
  <si>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</si>
  <si>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</si>
  <si>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</si>
  <si>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</si>
  <si>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</si>
  <si>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</si>
  <si>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</si>
  <si>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</si>
  <si>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</si>
  <si>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</si>
  <si>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</si>
  <si>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</si>
  <si>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</si>
  <si>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</si>
  <si>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</si>
  <si>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</si>
  <si>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</si>
  <si>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</si>
  <si>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</si>
  <si>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</si>
  <si>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</si>
  <si>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</si>
  <si>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</si>
  <si>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</si>
  <si>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</si>
  <si>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</si>
  <si>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</si>
  <si>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</si>
  <si>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</si>
  <si>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</si>
  <si>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</si>
  <si>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</si>
  <si>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</si>
  <si>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</si>
  <si>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</si>
  <si>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</si>
  <si>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</si>
  <si>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</si>
  <si>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</si>
  <si>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</si>
  <si>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</si>
  <si>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</si>
  <si>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</si>
  <si>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</si>
  <si>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</si>
  <si>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</si>
  <si>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</si>
  <si>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</si>
  <si>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</si>
  <si>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</si>
  <si>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</si>
  <si>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</si>
  <si>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</si>
  <si>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</si>
  <si>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</si>
  <si>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</si>
  <si>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</si>
  <si>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</si>
  <si>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</si>
  <si>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</si>
  <si>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</si>
  <si>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</si>
  <si>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</si>
  <si>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</si>
  <si>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</si>
  <si>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</si>
  <si>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</si>
  <si>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</si>
  <si>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</si>
  <si>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</si>
  <si>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</si>
  <si>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</si>
  <si>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</si>
  <si>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</si>
  <si>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</si>
  <si>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</si>
  <si>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</si>
  <si>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</si>
  <si>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</si>
  <si>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</si>
  <si>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</si>
  <si>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</si>
  <si>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</si>
  <si>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</si>
  <si>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</si>
  <si>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</si>
  <si>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</si>
  <si>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</si>
  <si>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</si>
  <si>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</si>
  <si>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</si>
  <si>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</si>
  <si>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</si>
  <si>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</si>
  <si>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</si>
  <si>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</si>
  <si>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</si>
  <si>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</si>
  <si>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</si>
  <si>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</si>
  <si>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</si>
  <si>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</si>
  <si>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</si>
  <si>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</si>
  <si>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</si>
  <si>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</si>
  <si>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</si>
  <si>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</si>
  <si>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</si>
  <si>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</si>
  <si>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</si>
  <si>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</si>
  <si>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</si>
  <si>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</si>
  <si>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</si>
  <si>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</si>
  <si>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</si>
  <si>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</si>
  <si>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</si>
  <si>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</si>
  <si>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</si>
  <si>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</si>
  <si>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</si>
  <si>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</si>
  <si>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</si>
  <si>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</si>
  <si>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</si>
  <si>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</si>
  <si>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</si>
  <si>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</si>
  <si>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</si>
  <si>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</si>
  <si>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</si>
  <si>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</si>
  <si>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</si>
  <si>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</si>
  <si>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</si>
  <si>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</si>
  <si>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</si>
  <si>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</si>
  <si>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</si>
  <si>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</si>
  <si>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</si>
  <si>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</si>
  <si>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</si>
  <si>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</si>
  <si>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</si>
  <si>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</si>
  <si>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</si>
  <si>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</si>
  <si>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</si>
  <si>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</si>
  <si>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</si>
  <si>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</si>
  <si>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</si>
  <si>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</si>
  <si>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</si>
  <si>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</si>
  <si>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</si>
  <si>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</si>
  <si>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</si>
  <si>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</si>
  <si>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</si>
  <si>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</si>
  <si>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</si>
  <si>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</si>
  <si>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</si>
  <si>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</si>
  <si>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</si>
  <si>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</si>
  <si>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</si>
  <si>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</si>
  <si>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</si>
  <si>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</si>
  <si>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</si>
  <si>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</si>
  <si>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</si>
  <si>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</si>
  <si>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</si>
  <si>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</si>
  <si>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</si>
  <si>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</si>
  <si>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</si>
  <si>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</si>
  <si>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</si>
  <si>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</si>
  <si>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</si>
  <si>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</si>
  <si>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</si>
  <si>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</si>
  <si>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</si>
  <si>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</si>
  <si>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</si>
  <si>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</si>
  <si>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</si>
  <si>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</si>
  <si>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</si>
  <si>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</si>
  <si>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</si>
  <si>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</si>
  <si>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</si>
  <si>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</si>
  <si>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</si>
  <si>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</si>
  <si>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</si>
  <si>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</si>
  <si>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</si>
  <si>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</si>
  <si>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</si>
  <si>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</si>
  <si>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</si>
  <si>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</si>
  <si>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</si>
  <si>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</si>
  <si>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</si>
  <si>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</si>
  <si>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</si>
  <si>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</si>
  <si>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</si>
  <si>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</si>
  <si>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</si>
  <si>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</si>
  <si>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</si>
  <si>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</si>
  <si>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</si>
  <si>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</si>
  <si>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</si>
  <si>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</si>
  <si>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</si>
  <si>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</si>
  <si>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</si>
  <si>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</si>
  <si>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</si>
  <si>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</si>
  <si>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</si>
  <si>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</si>
  <si>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</si>
  <si>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</si>
  <si>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</si>
  <si>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</si>
  <si>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</si>
  <si>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</si>
  <si>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</si>
  <si>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</si>
  <si>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</si>
  <si>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</si>
  <si>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</si>
  <si>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</si>
  <si>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</si>
  <si>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</si>
  <si>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</si>
  <si>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</si>
  <si>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</si>
  <si>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</si>
  <si>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</si>
  <si>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</si>
  <si>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</si>
  <si>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</si>
  <si>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</si>
  <si>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</si>
  <si>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</si>
  <si>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</si>
  <si>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</si>
  <si>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</si>
  <si>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</si>
  <si>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</si>
  <si>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</si>
  <si>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</si>
  <si>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</si>
  <si>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</si>
  <si>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</si>
  <si>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</si>
  <si>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</si>
  <si>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</si>
  <si>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</si>
  <si>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</si>
  <si>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</si>
  <si>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</si>
  <si>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</si>
  <si>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</si>
  <si>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</si>
  <si>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</si>
  <si>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</si>
  <si>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</si>
  <si>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</si>
  <si>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</si>
  <si>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</si>
  <si>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</si>
  <si>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</si>
  <si>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</si>
  <si>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</si>
  <si>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</si>
  <si>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</si>
  <si>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</si>
  <si>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</si>
  <si>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</si>
  <si>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</si>
  <si>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</si>
  <si>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</si>
  <si>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</si>
  <si>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</si>
  <si>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</si>
  <si>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</si>
  <si>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</si>
  <si>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</si>
  <si>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</si>
  <si>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</si>
  <si>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</si>
  <si>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</si>
  <si>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</si>
  <si>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</si>
  <si>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</si>
  <si>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</si>
  <si>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</si>
  <si>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</si>
  <si>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</si>
  <si>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</si>
  <si>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</si>
  <si>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</si>
  <si>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</si>
  <si>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</si>
  <si>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</si>
  <si>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</si>
  <si>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</si>
  <si>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</si>
  <si>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</si>
  <si>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</si>
  <si>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</si>
  <si>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</si>
  <si>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</si>
  <si>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</si>
  <si>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</si>
  <si>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</si>
  <si>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</si>
  <si>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</si>
  <si>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</si>
  <si>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</si>
  <si>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</si>
  <si>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</si>
  <si>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</si>
  <si>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</si>
  <si>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</si>
  <si>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</si>
  <si>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</si>
  <si>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</si>
  <si>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</si>
  <si>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</si>
  <si>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</si>
  <si>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</si>
  <si>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</si>
  <si>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</si>
  <si>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</si>
  <si>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</si>
  <si>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</si>
  <si>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</si>
  <si>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</si>
  <si>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</si>
  <si>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</si>
  <si>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</si>
  <si>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</si>
  <si>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</si>
  <si>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</si>
  <si>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</si>
  <si>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</si>
  <si>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</si>
  <si>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</si>
  <si>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</si>
  <si>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</si>
  <si>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</si>
  <si>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</si>
  <si>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</si>
  <si>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</si>
  <si>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</si>
  <si>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</si>
  <si>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</si>
  <si>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</si>
  <si>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</si>
  <si>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</si>
  <si>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</si>
  <si>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</si>
  <si>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</si>
  <si>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</si>
  <si>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</si>
  <si>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</si>
  <si>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</si>
  <si>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</si>
  <si>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</si>
  <si>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</si>
  <si>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</si>
  <si>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</si>
  <si>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</si>
  <si>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</si>
  <si>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</si>
  <si>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</si>
  <si>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</si>
  <si>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</si>
  <si>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</si>
  <si>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</si>
  <si>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</si>
  <si>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</si>
  <si>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</si>
  <si>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</si>
  <si>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</si>
  <si>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</si>
  <si>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</si>
  <si>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</si>
  <si>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</si>
  <si>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</si>
  <si>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</si>
  <si>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</si>
  <si>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</si>
  <si>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</si>
  <si>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</si>
  <si>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</si>
  <si>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</si>
  <si>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</si>
  <si>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</si>
  <si>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</si>
  <si>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</si>
  <si>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</si>
  <si>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</si>
  <si>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</si>
  <si>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</si>
  <si>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</si>
  <si>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</si>
  <si>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</si>
  <si>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</si>
  <si>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</si>
  <si>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</si>
  <si>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</si>
  <si>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</si>
  <si>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</si>
  <si>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</si>
  <si>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</si>
  <si>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</si>
  <si>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</si>
  <si>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</si>
  <si>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</si>
  <si>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</si>
  <si>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</si>
  <si>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</si>
  <si>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</si>
  <si>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</si>
  <si>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</si>
  <si>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</si>
  <si>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</si>
  <si>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</si>
  <si>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</si>
  <si>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</si>
  <si>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</si>
  <si>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</si>
  <si>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</si>
  <si>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</si>
  <si>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</si>
  <si>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</si>
  <si>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</si>
  <si>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</si>
  <si>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</si>
  <si>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</si>
  <si>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</si>
  <si>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</si>
  <si>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</si>
  <si>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</si>
  <si>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</si>
  <si>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</si>
  <si>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</si>
  <si>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</si>
  <si>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</si>
  <si>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</si>
  <si>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</si>
  <si>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</si>
  <si>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</si>
  <si>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</si>
  <si>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</si>
  <si>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</si>
  <si>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</si>
  <si>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</si>
  <si>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</si>
  <si>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</si>
  <si>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</si>
  <si>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</si>
  <si>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</si>
  <si>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</si>
  <si>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</si>
  <si>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</si>
  <si>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</si>
  <si>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</si>
  <si>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</si>
  <si>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</si>
  <si>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</si>
  <si>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</si>
  <si>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</si>
  <si>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</si>
  <si>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</si>
  <si>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</si>
  <si>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</si>
  <si>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</si>
  <si>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</si>
  <si>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</si>
  <si>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</si>
  <si>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</si>
  <si>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</si>
  <si>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</si>
  <si>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</si>
  <si>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</si>
  <si>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</si>
  <si>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</si>
  <si>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</si>
  <si>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</si>
  <si>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</si>
  <si>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</si>
  <si>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</si>
  <si>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</si>
  <si>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</si>
  <si>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</si>
  <si>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</si>
  <si>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</si>
  <si>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</si>
  <si>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</si>
  <si>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</si>
  <si>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</si>
  <si>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</si>
  <si>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</si>
  <si>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</si>
  <si>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</si>
  <si>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</si>
  <si>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</si>
  <si>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</si>
  <si>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</si>
  <si>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</si>
  <si>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</si>
  <si>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</si>
  <si>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</si>
  <si>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</si>
  <si>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</si>
  <si>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</si>
  <si>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</si>
  <si>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</si>
  <si>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</si>
  <si>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</si>
  <si>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</si>
  <si>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</si>
  <si>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</si>
  <si>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</si>
  <si>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</si>
  <si>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</si>
  <si>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</si>
  <si>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</si>
  <si>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</si>
  <si>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</si>
  <si>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</si>
  <si>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</si>
  <si>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</si>
  <si>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</si>
  <si>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</si>
  <si>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</si>
  <si>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</si>
  <si>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</si>
  <si>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</si>
  <si>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</si>
  <si>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</si>
  <si>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</si>
  <si>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</si>
  <si>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</si>
  <si>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</si>
  <si>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</si>
  <si>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</si>
  <si>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</si>
  <si>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</si>
  <si>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</si>
  <si>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</si>
  <si>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</si>
  <si>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</si>
  <si>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</si>
  <si>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</si>
  <si>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</si>
  <si>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</si>
  <si>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</si>
  <si>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</si>
  <si>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</si>
  <si>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</si>
  <si>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</si>
  <si>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</si>
  <si>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</si>
  <si>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</si>
  <si>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</si>
  <si>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</si>
  <si>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</si>
  <si>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</si>
  <si>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</si>
  <si>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</si>
  <si>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</si>
  <si>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</si>
  <si>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</si>
  <si>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</si>
  <si>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</si>
  <si>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</si>
  <si>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</si>
  <si>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</si>
  <si>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</si>
  <si>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</si>
  <si>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</si>
  <si>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</si>
  <si>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</si>
  <si>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</si>
  <si>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</si>
  <si>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</si>
  <si>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</si>
  <si>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</si>
  <si>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</si>
  <si>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</si>
  <si>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</si>
  <si>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</si>
  <si>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</si>
  <si>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</si>
  <si>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</si>
  <si>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</si>
  <si>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</si>
  <si>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</si>
  <si>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</si>
  <si>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</si>
  <si>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</si>
  <si>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</si>
  <si>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</si>
  <si>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</si>
  <si>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</si>
  <si>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</si>
  <si>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</si>
  <si>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</si>
  <si>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</si>
  <si>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</si>
  <si>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</si>
  <si>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</si>
  <si>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</si>
  <si>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</si>
  <si>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</si>
  <si>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</si>
  <si>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</si>
  <si>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</si>
  <si>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</si>
  <si>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</si>
  <si>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</si>
  <si>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</si>
  <si>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</si>
  <si>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</si>
  <si>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</si>
  <si>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</si>
  <si>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</si>
  <si>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</si>
  <si>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</si>
  <si>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</si>
  <si>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</si>
  <si>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</si>
  <si>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</si>
  <si>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</si>
  <si>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</si>
  <si>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</si>
  <si>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</si>
  <si>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</si>
  <si>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</si>
  <si>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</si>
  <si>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</si>
  <si>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</si>
  <si>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</si>
  <si>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</si>
  <si>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</si>
  <si>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</si>
  <si>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</si>
  <si>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</si>
  <si>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</si>
  <si>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</si>
  <si>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</si>
  <si>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</si>
  <si>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</si>
  <si>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</si>
  <si>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</si>
  <si>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</si>
  <si>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</si>
  <si>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</si>
  <si>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</si>
  <si>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</si>
  <si>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</si>
  <si>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</si>
  <si>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</si>
  <si>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</si>
  <si>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</si>
  <si>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</si>
  <si>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</si>
  <si>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</si>
  <si>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</si>
  <si>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</si>
  <si>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</si>
  <si>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</si>
  <si>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</si>
  <si>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</si>
  <si>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</si>
  <si>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</si>
  <si>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</si>
  <si>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</si>
  <si>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</si>
  <si>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</si>
  <si>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</si>
  <si>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</si>
  <si>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</si>
  <si>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</si>
  <si>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</si>
  <si>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</si>
  <si>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</si>
  <si>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</si>
  <si>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</si>
  <si>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</si>
  <si>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</si>
  <si>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</si>
  <si>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</si>
  <si>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</si>
  <si>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</si>
  <si>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</si>
  <si>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</si>
  <si>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</si>
  <si>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</si>
  <si>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</si>
  <si>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</si>
  <si>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</si>
  <si>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</si>
  <si>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</si>
  <si>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</si>
  <si>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</si>
  <si>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</si>
  <si>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</si>
  <si>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</si>
  <si>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</si>
  <si>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</si>
  <si>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</si>
  <si>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</si>
  <si>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</si>
  <si>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</si>
  <si>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</si>
  <si>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</si>
  <si>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</si>
  <si>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</si>
  <si>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</si>
  <si>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</si>
  <si>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</si>
  <si>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</si>
  <si>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</si>
  <si>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</si>
  <si>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</si>
  <si>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</si>
  <si>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</si>
  <si>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</si>
  <si>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</si>
  <si>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</si>
  <si>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</si>
  <si>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</si>
  <si>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</si>
  <si>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</si>
  <si>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</si>
  <si>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</si>
  <si>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</si>
  <si>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</si>
  <si>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</si>
  <si>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</si>
  <si>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</si>
  <si>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</si>
  <si>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</si>
  <si>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</si>
  <si>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</si>
  <si>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</si>
  <si>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</si>
  <si>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</si>
  <si>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</si>
  <si>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</si>
  <si>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</si>
  <si>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</si>
  <si>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</si>
  <si>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</si>
  <si>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</si>
  <si>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</si>
  <si>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</si>
  <si>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</si>
  <si>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</si>
  <si>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</si>
  <si>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</si>
  <si>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</si>
  <si>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</si>
  <si>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</si>
  <si>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</si>
  <si>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</si>
  <si>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</si>
  <si>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</si>
  <si>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</si>
  <si>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</si>
  <si>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</si>
  <si>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</si>
  <si>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</si>
  <si>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</si>
  <si>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</si>
  <si>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</si>
  <si>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</si>
  <si>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</si>
  <si>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</si>
  <si>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</si>
  <si>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</si>
  <si>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</si>
  <si>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</si>
  <si>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</si>
  <si>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</si>
  <si>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</si>
  <si>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</si>
  <si>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</si>
  <si>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</si>
  <si>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</si>
  <si>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</si>
  <si>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</si>
  <si>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</si>
  <si>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</si>
  <si>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</si>
  <si>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</si>
  <si>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</si>
  <si>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</si>
  <si>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</si>
  <si>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</si>
  <si>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</si>
  <si>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</si>
  <si>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</si>
  <si>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</si>
  <si>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</si>
  <si>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</si>
  <si>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</si>
  <si>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</si>
  <si>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</si>
  <si>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</si>
  <si>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</si>
  <si>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</si>
  <si>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</si>
  <si>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</si>
  <si>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</si>
  <si>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</si>
  <si>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</si>
  <si>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</si>
  <si>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</si>
  <si>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</si>
  <si>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</si>
  <si>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</si>
  <si>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</si>
  <si>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</si>
  <si>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</si>
  <si>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</si>
  <si>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</si>
  <si>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</si>
  <si>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</si>
  <si>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</si>
  <si>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</si>
  <si>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</si>
  <si>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</si>
  <si>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</si>
  <si>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</si>
  <si>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</si>
  <si>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</si>
  <si>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</si>
  <si>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</si>
  <si>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</si>
  <si>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</si>
  <si>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</si>
  <si>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</si>
  <si>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</si>
  <si>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</si>
  <si>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</si>
  <si>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</si>
  <si>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</si>
  <si>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</si>
  <si>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</si>
  <si>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</si>
  <si>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</si>
  <si>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</si>
  <si>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</si>
  <si>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</si>
  <si>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</si>
  <si>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</si>
  <si>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</si>
  <si>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</si>
  <si>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</si>
  <si>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</si>
  <si>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</si>
  <si>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</si>
  <si>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</si>
  <si>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</si>
  <si>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</si>
  <si>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</si>
  <si>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</si>
  <si>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</si>
  <si>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</si>
  <si>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</si>
  <si>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</si>
  <si>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</si>
  <si>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</si>
  <si>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</si>
  <si>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</si>
  <si>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</si>
  <si>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</si>
  <si>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</si>
  <si>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</si>
  <si>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</si>
  <si>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</si>
  <si>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</si>
  <si>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</si>
  <si>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</si>
  <si>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</si>
  <si>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</si>
  <si>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</si>
  <si>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</si>
  <si>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</si>
  <si>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</si>
  <si>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</si>
  <si>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</si>
  <si>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</si>
  <si>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</si>
  <si>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</si>
  <si>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</si>
  <si>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</si>
  <si>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</si>
  <si>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</si>
  <si>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</si>
  <si>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</si>
  <si>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</si>
  <si>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</si>
  <si>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</si>
  <si>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</si>
  <si>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</si>
  <si>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</si>
  <si>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</si>
  <si>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</si>
  <si>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</si>
  <si>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</si>
  <si>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</si>
  <si>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</si>
  <si>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</si>
  <si>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</si>
  <si>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</si>
  <si>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</si>
  <si>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</si>
  <si>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</si>
  <si>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</si>
  <si>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</si>
  <si>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</si>
  <si>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</si>
  <si>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</si>
  <si>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</si>
  <si>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</si>
  <si>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</si>
  <si>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</si>
  <si>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</si>
  <si>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</si>
  <si>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</si>
  <si>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</si>
  <si>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</si>
  <si>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</si>
  <si>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</si>
  <si>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</si>
  <si>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</si>
  <si>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</si>
  <si>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</si>
  <si>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</si>
  <si>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</si>
  <si>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</si>
  <si>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</si>
  <si>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</si>
  <si>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</si>
  <si>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</si>
  <si>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</si>
  <si>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</si>
  <si>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</si>
  <si>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</si>
  <si>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</si>
  <si>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</si>
  <si>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</si>
  <si>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</si>
  <si>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</si>
  <si>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</si>
  <si>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</si>
  <si>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</si>
  <si>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</si>
  <si>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</si>
  <si>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</si>
  <si>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</si>
  <si>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</si>
  <si>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</si>
  <si>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</si>
  <si>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</si>
  <si>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</si>
  <si>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</si>
  <si>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</si>
  <si>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</si>
  <si>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</si>
  <si>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</si>
  <si>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</si>
  <si>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</si>
  <si>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</si>
  <si>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</si>
  <si>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</si>
  <si>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</si>
  <si>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</si>
  <si>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</si>
  <si>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</si>
  <si>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</si>
  <si>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</si>
  <si>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</si>
  <si>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</si>
  <si>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</si>
  <si>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</si>
  <si>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</si>
  <si>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</si>
  <si>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</si>
  <si>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</si>
  <si>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</si>
  <si>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</si>
  <si>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</si>
  <si>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</si>
  <si>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</si>
  <si>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</si>
  <si>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</si>
  <si>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</si>
  <si>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</si>
  <si>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</si>
  <si>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</si>
  <si>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</si>
  <si>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</si>
  <si>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</si>
  <si>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</si>
  <si>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</si>
  <si>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</si>
  <si>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</si>
  <si>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</si>
  <si>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</si>
  <si>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</si>
  <si>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</si>
  <si>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</si>
  <si>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</si>
  <si>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</si>
  <si>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</si>
  <si>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</si>
  <si>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</si>
  <si>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</si>
  <si>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</si>
  <si>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</si>
  <si>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</si>
  <si>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</si>
  <si>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</si>
  <si>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</si>
  <si>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</si>
  <si>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</si>
  <si>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</si>
  <si>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</si>
  <si>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</si>
  <si>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</si>
  <si>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</si>
  <si>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</si>
  <si>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</si>
  <si>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</si>
  <si>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</si>
  <si>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</si>
  <si>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</si>
  <si>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</si>
  <si>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</si>
  <si>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</si>
  <si>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</si>
  <si>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</si>
  <si>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</si>
  <si>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</si>
  <si>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</si>
  <si>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</si>
  <si>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</si>
  <si>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</si>
  <si>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</si>
  <si>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</si>
  <si>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</si>
  <si>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</si>
  <si>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</si>
  <si>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</si>
  <si>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</si>
  <si>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</si>
  <si>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</si>
  <si>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</si>
  <si>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</si>
  <si>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</si>
  <si>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</si>
  <si>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</si>
  <si>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</si>
  <si>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</si>
  <si>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</si>
  <si>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</si>
  <si>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</si>
  <si>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</si>
  <si>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</si>
  <si>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</si>
  <si>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</si>
  <si>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</si>
  <si>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</si>
  <si>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</si>
  <si>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</si>
  <si>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</si>
  <si>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</si>
  <si>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</si>
  <si>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</si>
  <si>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</si>
  <si>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</si>
  <si>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</si>
  <si>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</si>
  <si>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</si>
  <si>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</si>
  <si>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</si>
  <si>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</si>
  <si>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</si>
  <si>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</si>
  <si>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</si>
  <si>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</si>
  <si>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</si>
  <si>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</si>
  <si>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</si>
  <si>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</si>
  <si>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</si>
  <si>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</si>
  <si>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</si>
  <si>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</si>
  <si>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</si>
  <si>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</si>
  <si>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</si>
  <si>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</si>
  <si>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</si>
  <si>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</si>
  <si>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</si>
  <si>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</si>
  <si>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</si>
  <si>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</si>
  <si>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</si>
  <si>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</si>
  <si>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</si>
  <si>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</si>
  <si>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</si>
  <si>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</si>
  <si>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</si>
  <si>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</si>
  <si>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</si>
  <si>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</si>
  <si>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</si>
  <si>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</si>
  <si>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</si>
  <si>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</si>
  <si>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</si>
  <si>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</si>
  <si>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</si>
  <si>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</si>
  <si>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</si>
  <si>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</si>
  <si>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</si>
  <si>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</si>
  <si>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</si>
  <si>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</si>
  <si>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</si>
  <si>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</si>
  <si>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</si>
  <si>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</si>
  <si>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</si>
  <si>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</si>
  <si>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</si>
  <si>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</si>
  <si>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</si>
  <si>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</si>
  <si>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</si>
  <si>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</si>
  <si>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</si>
  <si>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</si>
  <si>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</si>
  <si>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</si>
  <si>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</si>
  <si>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</si>
  <si>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</si>
  <si>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</si>
  <si>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</si>
  <si>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</si>
  <si>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</si>
  <si>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</si>
  <si>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</si>
  <si>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</si>
  <si>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</si>
  <si>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</si>
  <si>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</si>
  <si>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</si>
  <si>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</si>
  <si>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</si>
  <si>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</si>
  <si>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</si>
  <si>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</si>
  <si>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</si>
  <si>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</si>
  <si>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</si>
  <si>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</si>
  <si>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</si>
  <si>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</si>
  <si>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</si>
  <si>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</si>
  <si>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</si>
  <si>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</si>
  <si>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</si>
  <si>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</si>
  <si>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</si>
  <si>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</si>
  <si>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</si>
  <si>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</si>
  <si>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</si>
  <si>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</si>
  <si>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</si>
  <si>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</si>
  <si>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</si>
  <si>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</si>
  <si>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</si>
  <si>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</si>
  <si>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</si>
  <si>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</si>
  <si>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</si>
  <si>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</si>
  <si>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</si>
  <si>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</si>
  <si>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</si>
  <si>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</si>
  <si>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</si>
  <si>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</si>
  <si>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</si>
  <si>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</si>
  <si>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</si>
  <si>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</si>
  <si>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</si>
  <si>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</si>
  <si>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</si>
  <si>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</si>
  <si>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</si>
  <si>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</si>
  <si>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</si>
  <si>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</si>
  <si>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</si>
  <si>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</si>
  <si>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</si>
  <si>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</si>
  <si>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</si>
  <si>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</si>
  <si>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</si>
  <si>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</si>
  <si>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</si>
  <si>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</si>
  <si>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</si>
  <si>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</si>
  <si>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</si>
  <si>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</si>
  <si>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</si>
  <si>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</si>
  <si>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</si>
  <si>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</si>
  <si>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</si>
  <si>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</si>
  <si>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</si>
  <si>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</si>
  <si>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</si>
  <si>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</si>
  <si>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</si>
  <si>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</si>
  <si>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</si>
  <si>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</si>
  <si>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</si>
  <si>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</si>
  <si>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</si>
  <si>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</si>
  <si>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</si>
  <si>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</si>
  <si>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</si>
  <si>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</si>
  <si>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</si>
  <si>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</si>
  <si>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</si>
  <si>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</si>
  <si>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</si>
  <si>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</si>
  <si>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</si>
  <si>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</si>
  <si>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</si>
  <si>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</si>
  <si>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</si>
  <si>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</si>
  <si>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</si>
  <si>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</si>
  <si>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</si>
  <si>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</si>
  <si>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</si>
  <si>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</si>
  <si>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</si>
  <si>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</si>
  <si>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</si>
  <si>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</si>
  <si>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</si>
  <si>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</si>
  <si>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</si>
  <si>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</si>
  <si>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</si>
  <si>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</si>
  <si>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</si>
  <si>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</si>
  <si>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</si>
  <si>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</si>
  <si>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</si>
  <si>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</si>
  <si>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</si>
  <si>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</si>
  <si>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</si>
  <si>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</si>
  <si>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</si>
  <si>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</si>
  <si>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</si>
  <si>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</si>
  <si>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</si>
  <si>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</si>
  <si>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</si>
  <si>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</si>
  <si>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</si>
  <si>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</si>
  <si>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</si>
  <si>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</si>
  <si>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</si>
  <si>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</si>
  <si>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</si>
  <si>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</si>
  <si>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</si>
  <si>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</si>
  <si>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</si>
  <si>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</si>
  <si>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</si>
  <si>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</si>
  <si>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</si>
  <si>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</si>
  <si>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</si>
  <si>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</si>
  <si>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</si>
  <si>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</si>
  <si>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</si>
  <si>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</si>
  <si>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</si>
  <si>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</si>
  <si>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</si>
  <si>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</si>
  <si>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</si>
  <si>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</si>
  <si>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</si>
  <si>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</si>
  <si>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</si>
  <si>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</si>
  <si>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</si>
  <si>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</si>
  <si>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</si>
  <si>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</si>
  <si>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</si>
  <si>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</si>
  <si>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</si>
  <si>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</si>
  <si>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</si>
  <si>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</si>
  <si>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</si>
  <si>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</si>
  <si>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</si>
  <si>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</si>
  <si>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</si>
  <si>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</si>
  <si>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</si>
  <si>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</si>
  <si>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</si>
  <si>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</si>
  <si>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</si>
  <si>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</si>
  <si>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</si>
  <si>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</si>
  <si>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</si>
  <si>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</si>
  <si>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</si>
  <si>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</si>
  <si>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</si>
  <si>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</si>
  <si>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</si>
  <si>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</si>
  <si>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</si>
  <si>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</si>
  <si>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</si>
  <si>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</si>
  <si>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</si>
  <si>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</si>
  <si>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</si>
  <si>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</si>
  <si>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</si>
  <si>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</si>
  <si>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</si>
  <si>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</si>
  <si>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</si>
  <si>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</si>
  <si>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</si>
  <si>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</si>
  <si>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</si>
  <si>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</si>
  <si>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</si>
  <si>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</si>
  <si>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</si>
  <si>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</si>
  <si>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</si>
  <si>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</si>
  <si>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</si>
  <si>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</si>
  <si>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</si>
  <si>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</si>
  <si>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</si>
  <si>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</si>
  <si>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</si>
  <si>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</si>
  <si>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</si>
  <si>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</si>
  <si>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</si>
  <si>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</si>
  <si>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</si>
  <si>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</si>
  <si>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</si>
  <si>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</si>
  <si>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</si>
  <si>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</si>
  <si>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</si>
  <si>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</si>
  <si>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</si>
  <si>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</si>
  <si>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</si>
  <si>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</si>
  <si>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</si>
  <si>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</si>
  <si>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</si>
  <si>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</si>
  <si>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</si>
  <si>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</si>
  <si>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</si>
  <si>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</si>
  <si>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</si>
  <si>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</si>
  <si>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</si>
  <si>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</si>
  <si>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</si>
  <si>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</si>
  <si>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</si>
  <si>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</si>
  <si>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</si>
  <si>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</si>
  <si>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</si>
  <si>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</si>
  <si>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</si>
  <si>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</si>
  <si>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</si>
  <si>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</si>
  <si>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</si>
  <si>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</si>
  <si>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</si>
  <si>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</si>
  <si>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</si>
  <si>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</si>
  <si>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</si>
  <si>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</si>
  <si>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</si>
  <si>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</si>
  <si>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</si>
  <si>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</si>
  <si>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</si>
  <si>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</si>
  <si>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</si>
  <si>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</si>
  <si>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</si>
  <si>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</si>
  <si>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</si>
  <si>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</si>
  <si>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</si>
  <si>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</si>
  <si>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</si>
  <si>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</si>
  <si>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</si>
  <si>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</si>
  <si>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</si>
  <si>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</si>
  <si>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</si>
  <si>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</si>
  <si>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</si>
  <si>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</si>
  <si>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</si>
  <si>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</si>
  <si>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</si>
  <si>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</si>
  <si>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</si>
  <si>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</si>
  <si>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</si>
  <si>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</si>
  <si>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</si>
  <si>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</si>
  <si>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</si>
  <si>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</si>
  <si>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</si>
  <si>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</si>
  <si>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</si>
  <si>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</si>
  <si>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</si>
  <si>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</si>
  <si>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</si>
  <si>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</si>
  <si>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</si>
  <si>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</si>
  <si>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</si>
  <si>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</si>
  <si>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</si>
  <si>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</si>
  <si>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</si>
  <si>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</si>
  <si>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</si>
  <si>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</si>
  <si>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</si>
  <si>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</si>
  <si>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</si>
  <si>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</si>
  <si>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</si>
  <si>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</si>
  <si>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</si>
  <si>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</si>
  <si>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</si>
  <si>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</si>
  <si>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</si>
  <si>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</si>
  <si>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</si>
  <si>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</si>
  <si>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</si>
  <si>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</si>
  <si>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</si>
  <si>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</si>
  <si>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</si>
  <si>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</si>
  <si>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</si>
  <si>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</si>
  <si>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</si>
  <si>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</si>
  <si>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</si>
  <si>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</si>
  <si>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</si>
  <si>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</si>
  <si>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</si>
  <si>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</si>
  <si>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</si>
  <si>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</si>
  <si>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</si>
  <si>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</si>
  <si>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</si>
  <si>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</si>
  <si>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</si>
  <si>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</si>
  <si>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</si>
  <si>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</si>
  <si>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</si>
  <si>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</si>
  <si>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</si>
  <si>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</si>
  <si>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</si>
  <si>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</si>
  <si>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</si>
  <si>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</si>
  <si>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</si>
  <si>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</si>
  <si>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</si>
  <si>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</si>
  <si>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</si>
  <si>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</si>
  <si>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</si>
  <si>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</si>
  <si>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</si>
  <si>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</si>
  <si>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</si>
  <si>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</si>
  <si>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</si>
  <si>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</si>
  <si>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</si>
  <si>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</si>
  <si>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</si>
  <si>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</si>
  <si>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</si>
  <si>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</si>
  <si>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</si>
  <si>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</si>
  <si>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</si>
  <si>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</si>
  <si>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</si>
  <si>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</si>
  <si>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</si>
  <si>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</si>
  <si>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</si>
  <si>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</si>
  <si>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</si>
  <si>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</si>
  <si>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</si>
  <si>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</si>
  <si>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</si>
  <si>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</si>
  <si>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</si>
  <si>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</si>
  <si>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</si>
  <si>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</si>
  <si>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</si>
  <si>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</si>
  <si>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</si>
  <si>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</si>
  <si>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</si>
  <si>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</si>
  <si>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</si>
  <si>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</si>
  <si>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</si>
  <si>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</si>
  <si>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</si>
  <si>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</si>
  <si>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</si>
  <si>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</si>
  <si>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</si>
  <si>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</si>
  <si>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</si>
  <si>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</si>
  <si>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</si>
  <si>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</si>
  <si>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</si>
  <si>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</si>
  <si>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</si>
  <si>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</si>
  <si>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</si>
  <si>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</si>
  <si>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</si>
  <si>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</si>
  <si>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</si>
  <si>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</si>
  <si>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</si>
  <si>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</si>
  <si>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</si>
  <si>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</si>
  <si>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</si>
  <si>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</si>
  <si>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</si>
  <si>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</si>
  <si>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</si>
  <si>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</si>
  <si>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</si>
  <si>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</si>
  <si>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</si>
  <si>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</si>
  <si>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</si>
  <si>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</si>
  <si>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</si>
  <si>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</si>
  <si>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</si>
  <si>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</si>
  <si>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</si>
  <si>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</si>
  <si>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</si>
  <si>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</si>
  <si>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</si>
  <si>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</si>
  <si>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</si>
  <si>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</si>
  <si>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</si>
  <si>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</si>
  <si>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</si>
  <si>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</si>
  <si>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</si>
  <si>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</si>
  <si>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</si>
  <si>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</si>
  <si>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</si>
  <si>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</si>
  <si>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</si>
  <si>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</si>
  <si>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</si>
  <si>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</si>
  <si>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</si>
  <si>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</si>
  <si>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</si>
  <si>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</si>
  <si>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</si>
  <si>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</si>
  <si>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</si>
  <si>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</si>
  <si>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</si>
  <si>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</si>
  <si>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</si>
  <si>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</si>
  <si>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</si>
  <si>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</si>
  <si>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</si>
  <si>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</si>
  <si>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</si>
  <si>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</si>
  <si>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</si>
  <si>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</si>
  <si>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</si>
  <si>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</si>
  <si>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</si>
  <si>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</si>
  <si>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</si>
  <si>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</si>
  <si>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</si>
  <si>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</si>
  <si>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</si>
  <si>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</si>
  <si>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</si>
  <si>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</si>
  <si>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</si>
  <si>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</si>
  <si>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</si>
  <si>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</si>
  <si>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</si>
  <si>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</si>
  <si>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</si>
  <si>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</si>
  <si>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</si>
  <si>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</si>
  <si>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</si>
  <si>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</si>
  <si>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</si>
  <si>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</si>
  <si>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</si>
  <si>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</si>
  <si>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</si>
  <si>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</si>
  <si>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</si>
  <si>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</si>
  <si>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</si>
  <si>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</si>
  <si>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</si>
  <si>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</si>
  <si>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</si>
  <si>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</si>
  <si>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</si>
  <si>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</si>
  <si>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</si>
  <si>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</si>
  <si>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</si>
  <si>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</si>
  <si>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</si>
  <si>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</si>
  <si>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</si>
  <si>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</si>
  <si>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</si>
  <si>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</si>
  <si>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</si>
  <si>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</si>
  <si>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</si>
  <si>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</si>
  <si>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</si>
  <si>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</si>
  <si>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</si>
  <si>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</si>
  <si>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</si>
  <si>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</si>
  <si>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</si>
  <si>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</si>
  <si>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</si>
  <si>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</si>
  <si>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</si>
  <si>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</si>
  <si>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</si>
  <si>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</si>
  <si>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</si>
  <si>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</si>
  <si>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</si>
  <si>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</si>
  <si>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</si>
  <si>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</si>
  <si>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</si>
  <si>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</si>
  <si>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</si>
  <si>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</si>
  <si>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</si>
  <si>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</si>
  <si>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</si>
  <si>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</si>
  <si>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</si>
  <si>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</si>
  <si>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</si>
  <si>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</si>
  <si>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</si>
  <si>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</si>
  <si>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</si>
  <si>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</si>
  <si>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</si>
  <si>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</si>
  <si>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</si>
  <si>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</si>
  <si>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</si>
  <si>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</si>
  <si>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</si>
  <si>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</si>
  <si>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</si>
  <si>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</si>
  <si>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</si>
  <si>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</si>
  <si>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</si>
  <si>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</si>
  <si>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</si>
  <si>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</si>
  <si>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</si>
  <si>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</si>
  <si>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</si>
  <si>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</si>
  <si>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</si>
  <si>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</si>
  <si>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</si>
  <si>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</si>
  <si>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</si>
  <si>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</si>
  <si>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</si>
  <si>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</si>
  <si>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</si>
  <si>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</si>
  <si>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</si>
  <si>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</si>
  <si>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</si>
  <si>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</si>
  <si>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</si>
  <si>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</si>
  <si>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</si>
  <si>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</si>
  <si>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</si>
  <si>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</si>
  <si>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</si>
  <si>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</si>
  <si>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</si>
  <si>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</si>
  <si>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</si>
  <si>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</si>
  <si>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</si>
  <si>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</si>
  <si>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</si>
  <si>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</si>
  <si>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</si>
  <si>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</si>
  <si>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</si>
  <si>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</si>
  <si>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</si>
  <si>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</si>
  <si>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</si>
  <si>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</si>
  <si>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</si>
  <si>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</si>
  <si>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</si>
  <si>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</si>
  <si>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</si>
  <si>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</si>
  <si>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</si>
  <si>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</si>
  <si>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</si>
  <si>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</si>
  <si>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</si>
  <si>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</si>
  <si>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</si>
  <si>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</si>
  <si>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</si>
  <si>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</si>
  <si>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</si>
  <si>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</si>
  <si>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</si>
  <si>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</si>
  <si>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</si>
  <si>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</si>
  <si>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</si>
  <si>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</si>
  <si>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</si>
  <si>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</si>
  <si>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</si>
  <si>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</si>
  <si>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</si>
  <si>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</si>
  <si>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</si>
  <si>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</si>
  <si>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</si>
  <si>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</si>
  <si>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</si>
  <si>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</si>
  <si>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</si>
  <si>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</si>
  <si>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</si>
  <si>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</si>
  <si>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</si>
  <si>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</si>
  <si>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</si>
  <si>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</si>
  <si>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</si>
  <si>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</si>
  <si>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</si>
  <si>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</si>
  <si>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</si>
  <si>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</si>
  <si>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</si>
  <si>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</si>
  <si>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</si>
  <si>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</si>
  <si>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</si>
  <si>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</si>
  <si>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</si>
  <si>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</si>
  <si>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</si>
  <si>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</si>
  <si>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</si>
  <si>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</si>
  <si>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</si>
  <si>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</si>
  <si>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</si>
  <si>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</si>
  <si>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</si>
  <si>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</si>
  <si>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</si>
  <si>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</si>
  <si>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</si>
  <si>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</si>
  <si>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</si>
  <si>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</si>
  <si>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</si>
  <si>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</si>
  <si>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</si>
  <si>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</si>
  <si>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</si>
  <si>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</si>
  <si>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</si>
  <si>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</si>
  <si>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</si>
  <si>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</si>
  <si>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</si>
  <si>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</si>
  <si>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</si>
  <si>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</si>
  <si>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</si>
  <si>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</si>
  <si>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</si>
  <si>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</si>
  <si>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</si>
  <si>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</si>
  <si>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</si>
  <si>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</si>
  <si>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</si>
  <si>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</si>
  <si>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</si>
  <si>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</si>
  <si>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</si>
  <si>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</si>
  <si>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</si>
  <si>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</si>
  <si>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</si>
  <si>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</si>
  <si>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</si>
  <si>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</si>
  <si>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</si>
  <si>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</si>
  <si>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</si>
  <si>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</si>
  <si>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</si>
  <si>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</si>
  <si>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</si>
  <si>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</si>
  <si>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</si>
  <si>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</si>
  <si>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</si>
  <si>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</si>
  <si>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</si>
  <si>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</si>
  <si>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</si>
  <si>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</si>
  <si>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</si>
  <si>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</si>
  <si>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</si>
  <si>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</si>
  <si>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</si>
  <si>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</si>
  <si>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</si>
  <si>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</si>
  <si>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</si>
  <si>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</si>
  <si>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</si>
  <si>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</si>
  <si>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</si>
  <si>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</si>
  <si>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</si>
  <si>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</si>
  <si>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</si>
  <si>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</si>
  <si>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</si>
  <si>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</si>
  <si>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</si>
  <si>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</si>
  <si>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</si>
  <si>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</si>
  <si>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</si>
  <si>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</si>
  <si>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</si>
  <si>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</si>
  <si>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</si>
  <si>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</si>
  <si>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</si>
  <si>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</si>
  <si>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</si>
  <si>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</si>
  <si>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</si>
  <si>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</si>
  <si>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</si>
  <si>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</si>
  <si>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</si>
  <si>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</si>
  <si>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</si>
  <si>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</si>
  <si>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</si>
  <si>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</si>
  <si>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</si>
  <si>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</si>
  <si>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</si>
  <si>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</si>
  <si>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</si>
  <si>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</si>
  <si>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</si>
  <si>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</si>
  <si>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</si>
  <si>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</si>
  <si>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</si>
  <si>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</si>
  <si>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</si>
  <si>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</si>
  <si>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</si>
  <si>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</si>
  <si>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</si>
  <si>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</si>
  <si>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</si>
  <si>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</si>
  <si>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</si>
  <si>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</si>
  <si>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</si>
  <si>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</si>
  <si>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</si>
  <si>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</si>
  <si>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</si>
  <si>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</si>
  <si>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</si>
  <si>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</si>
  <si>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</si>
  <si>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</si>
  <si>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</si>
  <si>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</si>
  <si>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</si>
  <si>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</si>
  <si>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</si>
  <si>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</si>
  <si>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</si>
  <si>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</si>
  <si>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</si>
  <si>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</si>
  <si>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</si>
  <si>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</si>
  <si>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</si>
  <si>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</si>
  <si>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</si>
  <si>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</si>
  <si>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</si>
  <si>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</si>
  <si>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</si>
  <si>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</si>
  <si>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</si>
  <si>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</si>
  <si>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</si>
  <si>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</si>
  <si>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</si>
  <si>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</si>
  <si>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</si>
  <si>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</si>
  <si>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</si>
  <si>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</si>
  <si>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</si>
  <si>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</si>
  <si>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</si>
  <si>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</si>
  <si>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</si>
  <si>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</si>
  <si>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</si>
  <si>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</si>
  <si>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</si>
  <si>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</si>
  <si>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</si>
  <si>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</si>
  <si>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</si>
  <si>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</si>
  <si>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</si>
  <si>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</si>
  <si>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</si>
  <si>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</si>
  <si>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</si>
  <si>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</si>
  <si>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</si>
  <si>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</si>
  <si>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</si>
  <si>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</si>
  <si>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</si>
  <si>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</si>
  <si>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</si>
  <si>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</si>
  <si>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</si>
  <si>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</si>
  <si>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</si>
  <si>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</si>
  <si>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</si>
  <si>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</si>
  <si>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</si>
  <si>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</si>
  <si>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</si>
  <si>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</si>
  <si>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</si>
  <si>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</si>
  <si>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</si>
  <si>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</si>
  <si>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</si>
  <si>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</si>
  <si>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</si>
  <si>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</si>
  <si>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</si>
  <si>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</si>
  <si>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</si>
  <si>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</si>
  <si>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</si>
  <si>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</si>
  <si>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</si>
  <si>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</si>
  <si>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</si>
  <si>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</si>
  <si>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</si>
  <si>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</si>
  <si>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</si>
  <si>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</si>
  <si>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</si>
  <si>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</si>
  <si>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</si>
  <si>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</si>
  <si>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</si>
  <si>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</si>
  <si>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</si>
  <si>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</si>
  <si>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</si>
  <si>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</si>
  <si>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</si>
  <si>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</si>
  <si>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</si>
  <si>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</si>
  <si>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</si>
  <si>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</si>
  <si>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</si>
  <si>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</si>
  <si>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</si>
  <si>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</si>
  <si>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</si>
  <si>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</si>
  <si>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</si>
  <si>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</si>
  <si>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</si>
  <si>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</si>
  <si>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</si>
  <si>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</si>
  <si>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</si>
  <si>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</si>
  <si>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</si>
  <si>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</si>
  <si>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</si>
  <si>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</si>
  <si>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</si>
  <si>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</si>
  <si>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</si>
  <si>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</si>
  <si>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</si>
  <si>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</si>
  <si>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</si>
  <si>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</si>
  <si>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</si>
  <si>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</si>
  <si>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</si>
  <si>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</si>
  <si>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</si>
  <si>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</si>
  <si>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</si>
  <si>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</si>
  <si>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</si>
  <si>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</si>
  <si>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</si>
  <si>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</si>
  <si>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</si>
  <si>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</si>
  <si>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</si>
  <si>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</si>
  <si>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</si>
  <si>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</si>
  <si>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</si>
  <si>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</si>
  <si>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</si>
  <si>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</si>
  <si>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</si>
  <si>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</si>
  <si>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</si>
  <si>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</si>
  <si>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</si>
  <si>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</si>
  <si>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</si>
  <si>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</si>
  <si>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</si>
  <si>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</si>
  <si>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</si>
  <si>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</si>
  <si>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</si>
  <si>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</si>
  <si>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</si>
  <si>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</si>
  <si>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</si>
  <si>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</si>
  <si>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</si>
  <si>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</si>
  <si>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</si>
  <si>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</si>
  <si>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</si>
  <si>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</si>
  <si>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</si>
  <si>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</si>
  <si>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</si>
  <si>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</si>
  <si>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</si>
  <si>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</si>
  <si>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</si>
  <si>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</si>
  <si>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</si>
  <si>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</si>
  <si>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</si>
  <si>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</si>
  <si>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</si>
  <si>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</si>
  <si>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</si>
  <si>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</si>
  <si>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</si>
  <si>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</si>
  <si>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</si>
  <si>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</si>
  <si>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</si>
  <si>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</si>
  <si>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</si>
  <si>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</si>
  <si>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</si>
  <si>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</si>
  <si>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</si>
  <si>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</si>
  <si>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</si>
  <si>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</si>
  <si>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</si>
  <si>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</si>
  <si>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</si>
  <si>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</si>
  <si>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</si>
  <si>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</si>
  <si>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</si>
  <si>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</si>
  <si>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</si>
  <si>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</si>
  <si>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</si>
  <si>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</si>
  <si>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</si>
  <si>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</si>
  <si>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</si>
  <si>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</si>
  <si>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</si>
  <si>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</si>
  <si>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</si>
  <si>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</si>
  <si>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</si>
  <si>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</si>
  <si>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</si>
  <si>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</si>
  <si>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</si>
  <si>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</si>
  <si>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</si>
  <si>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</si>
  <si>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</si>
  <si>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</si>
  <si>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</si>
  <si>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</si>
  <si>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</si>
  <si>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</si>
  <si>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</si>
  <si>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</si>
  <si>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</si>
  <si>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</si>
  <si>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</si>
  <si>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</si>
  <si>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</si>
  <si>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</si>
  <si>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</si>
  <si>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</si>
  <si>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</si>
  <si>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</si>
  <si>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</si>
  <si>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</si>
  <si>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</si>
  <si>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</si>
  <si>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</si>
  <si>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</si>
  <si>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</si>
  <si>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</si>
  <si>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</si>
  <si>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</si>
  <si>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</si>
  <si>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</si>
  <si>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</si>
  <si>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</si>
  <si>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</si>
  <si>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</si>
  <si>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</si>
  <si>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</si>
  <si>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</si>
  <si>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</si>
  <si>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</si>
  <si>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</si>
  <si>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</si>
  <si>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</si>
  <si>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</si>
  <si>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</si>
  <si>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</si>
  <si>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</si>
  <si>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</si>
  <si>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</si>
  <si>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</si>
  <si>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</si>
  <si>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</si>
  <si>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</si>
  <si>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</si>
  <si>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</si>
  <si>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</si>
  <si>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</si>
  <si>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</si>
  <si>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</si>
  <si>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</si>
  <si>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</si>
  <si>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</si>
  <si>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</si>
  <si>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</si>
  <si>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</si>
  <si>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</si>
  <si>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</si>
  <si>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</si>
  <si>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</si>
  <si>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</si>
  <si>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</si>
  <si>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</si>
  <si>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</si>
  <si>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</si>
  <si>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</si>
  <si>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</si>
  <si>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</si>
  <si>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</si>
  <si>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</si>
  <si>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</si>
  <si>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</si>
  <si>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</si>
  <si>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</si>
  <si>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</si>
  <si>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</si>
  <si>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</si>
  <si>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</si>
  <si>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</si>
  <si>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</si>
  <si>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</si>
  <si>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</si>
  <si>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</si>
  <si>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</si>
  <si>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</si>
  <si>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</si>
  <si>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</si>
  <si>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</si>
  <si>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</si>
  <si>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</si>
  <si>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</si>
  <si>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</si>
  <si>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</si>
  <si>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</si>
  <si>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</si>
  <si>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</si>
  <si>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</si>
  <si>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</si>
  <si>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</si>
  <si>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</si>
  <si>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</si>
  <si>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</si>
  <si>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</si>
  <si>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</si>
  <si>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</si>
  <si>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</si>
  <si>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</si>
  <si>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</si>
  <si>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</si>
  <si>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</si>
  <si>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</si>
  <si>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</si>
  <si>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</si>
  <si>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</si>
  <si>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</si>
  <si>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</si>
  <si>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</si>
  <si>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</si>
  <si>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</si>
  <si>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</si>
  <si>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</si>
  <si>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</si>
  <si>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</si>
  <si>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</si>
  <si>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</si>
  <si>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</si>
  <si>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</si>
  <si>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</si>
  <si>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</si>
  <si>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</si>
  <si>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</si>
  <si>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</si>
  <si>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</si>
  <si>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</si>
  <si>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</si>
  <si>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</si>
  <si>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</si>
  <si>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</si>
  <si>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</si>
  <si>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</si>
  <si>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</si>
  <si>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</si>
  <si>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</si>
  <si>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</si>
  <si>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</si>
  <si>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</si>
  <si>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</si>
  <si>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</si>
  <si>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</si>
  <si>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</si>
  <si>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</si>
  <si>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</si>
  <si>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</si>
  <si>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</si>
  <si>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</si>
  <si>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</si>
  <si>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</si>
  <si>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</si>
  <si>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</si>
  <si>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</si>
  <si>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</si>
  <si>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</si>
  <si>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</si>
  <si>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</si>
  <si>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</si>
  <si>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</si>
  <si>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</si>
  <si>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</si>
  <si>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</si>
  <si>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</si>
  <si>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</si>
  <si>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</si>
  <si>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</si>
  <si>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</si>
  <si>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</si>
  <si>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</si>
  <si>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</si>
  <si>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</si>
  <si>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</si>
  <si>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</si>
  <si>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</si>
  <si>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</si>
  <si>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</si>
  <si>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</si>
  <si>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</si>
  <si>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</si>
  <si>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</si>
  <si>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</si>
  <si>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</si>
  <si>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</si>
  <si>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</si>
  <si>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</si>
  <si>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</si>
  <si>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</si>
  <si>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</si>
  <si>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</si>
  <si>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</si>
  <si>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</si>
  <si>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</si>
  <si>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</si>
  <si>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</si>
  <si>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</si>
  <si>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</si>
  <si>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</si>
  <si>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</si>
  <si>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</si>
  <si>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</si>
  <si>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</si>
  <si>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</si>
  <si>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</si>
  <si>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</si>
  <si>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</si>
  <si>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</si>
  <si>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</si>
  <si>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</si>
  <si>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</si>
  <si>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</si>
  <si>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</si>
  <si>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</si>
  <si>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</si>
  <si>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</si>
  <si>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</si>
  <si>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</si>
  <si>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</si>
  <si>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</si>
  <si>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</si>
  <si>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</si>
  <si>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</si>
  <si>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</si>
  <si>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</si>
  <si>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</si>
  <si>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</si>
  <si>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</si>
  <si>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</si>
  <si>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</si>
  <si>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</si>
  <si>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</si>
  <si>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</si>
  <si>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</si>
  <si>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</si>
  <si>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</si>
  <si>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</si>
  <si>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</si>
  <si>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</si>
  <si>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</si>
  <si>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</si>
  <si>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</si>
  <si>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</si>
  <si>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</si>
  <si>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</si>
  <si>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</si>
  <si>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</si>
  <si>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</si>
  <si>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</si>
  <si>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</si>
  <si>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</si>
  <si>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</si>
  <si>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</si>
  <si>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</si>
  <si>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</si>
  <si>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</si>
  <si>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</si>
  <si>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</si>
  <si>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</si>
  <si>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</si>
  <si>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</si>
  <si>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</si>
  <si>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</si>
  <si>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</si>
  <si>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</si>
  <si>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</si>
  <si>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</si>
  <si>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</si>
  <si>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</si>
  <si>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</si>
  <si>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</si>
  <si>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</si>
  <si>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</si>
  <si>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</si>
  <si>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</si>
  <si>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</si>
  <si>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</si>
  <si>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</si>
  <si>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</si>
  <si>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</si>
  <si>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</si>
  <si>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</si>
  <si>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</si>
  <si>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</si>
  <si>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</si>
  <si>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</si>
  <si>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</si>
  <si>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</si>
  <si>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</si>
  <si>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</si>
  <si>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</si>
  <si>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</si>
  <si>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</si>
  <si>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</si>
  <si>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</si>
  <si>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</si>
  <si>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</si>
  <si>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</si>
  <si>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</si>
  <si>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</si>
  <si>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</si>
  <si>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</si>
  <si>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</si>
  <si>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</si>
  <si>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</si>
  <si>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</si>
  <si>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</si>
  <si>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</si>
  <si>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</si>
  <si>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</si>
  <si>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</si>
  <si>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</si>
  <si>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</si>
  <si>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</si>
  <si>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</si>
  <si>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</si>
  <si>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</si>
  <si>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</si>
  <si>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</si>
  <si>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</si>
  <si>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</si>
  <si>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</si>
  <si>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</si>
  <si>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</si>
  <si>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</si>
  <si>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</si>
  <si>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</si>
  <si>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</si>
  <si>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</si>
  <si>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</si>
  <si>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</si>
  <si>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</si>
  <si>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</si>
  <si>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</si>
  <si>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</si>
  <si>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</si>
  <si>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</si>
  <si>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</si>
  <si>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</si>
  <si>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</si>
  <si>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</si>
  <si>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</si>
  <si>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</si>
  <si>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</si>
  <si>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</si>
  <si>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</si>
  <si>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</si>
  <si>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</si>
  <si>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</si>
  <si>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</si>
  <si>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</si>
  <si>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</si>
  <si>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</si>
  <si>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</si>
  <si>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</si>
  <si>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</si>
  <si>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</si>
  <si>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</si>
  <si>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</si>
  <si>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</si>
  <si>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</si>
  <si>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</si>
  <si>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</si>
  <si>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</si>
  <si>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</si>
  <si>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</si>
  <si>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</si>
  <si>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</si>
  <si>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</si>
  <si>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</si>
  <si>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</si>
  <si>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</si>
  <si>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</si>
  <si>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</si>
  <si>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</si>
  <si>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</si>
  <si>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</si>
  <si>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</si>
  <si>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</si>
  <si>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</si>
  <si>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</si>
  <si>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</si>
  <si>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</si>
  <si>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</si>
  <si>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</si>
  <si>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</si>
  <si>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</si>
  <si>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</si>
  <si>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</si>
  <si>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</si>
  <si>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</si>
  <si>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</si>
  <si>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</si>
  <si>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</si>
  <si>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</si>
  <si>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</si>
  <si>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</si>
  <si>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</si>
  <si>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</si>
  <si>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</si>
  <si>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</si>
  <si>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</si>
  <si>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</si>
  <si>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</si>
  <si>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</si>
  <si>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</si>
  <si>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</si>
  <si>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</si>
  <si>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</si>
  <si>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</si>
  <si>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</si>
  <si>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</si>
  <si>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</si>
  <si>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</si>
  <si>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</si>
  <si>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</si>
  <si>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</si>
  <si>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</si>
  <si>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</si>
  <si>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</si>
  <si>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</si>
  <si>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</si>
  <si>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</si>
  <si>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</si>
  <si>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</si>
  <si>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</si>
  <si>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</si>
  <si>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</si>
  <si>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</si>
  <si>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</si>
  <si>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</si>
  <si>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</si>
  <si>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</si>
  <si>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</si>
  <si>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</si>
  <si>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</si>
  <si>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</si>
  <si>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</si>
  <si>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</si>
  <si>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</si>
  <si>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</si>
  <si>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</si>
  <si>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</si>
  <si>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</si>
  <si>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</si>
  <si>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</si>
  <si>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</si>
  <si>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</si>
  <si>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</si>
  <si>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</si>
  <si>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</si>
  <si>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</si>
  <si>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</si>
  <si>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</si>
  <si>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</si>
  <si>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</si>
  <si>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</si>
  <si>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</si>
  <si>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</si>
  <si>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</si>
  <si>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</si>
  <si>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</si>
  <si>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</si>
  <si>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</si>
  <si>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</si>
  <si>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</si>
  <si>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</si>
  <si>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</si>
  <si>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</si>
  <si>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</si>
  <si>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</si>
  <si>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</si>
  <si>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</si>
  <si>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</si>
  <si>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</si>
  <si>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</si>
  <si>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</si>
  <si>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</si>
  <si>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</si>
  <si>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</si>
  <si>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</si>
  <si>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</si>
  <si>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</si>
  <si>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</si>
  <si>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</si>
  <si>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</si>
  <si>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</si>
  <si>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</si>
  <si>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</si>
  <si>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</si>
  <si>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</si>
  <si>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</si>
  <si>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</si>
  <si>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</si>
  <si>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</si>
  <si>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</si>
  <si>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</si>
  <si>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</si>
  <si>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</si>
  <si>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</si>
  <si>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</si>
  <si>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</si>
  <si>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</si>
  <si>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</si>
  <si>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</si>
  <si>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</si>
  <si>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</si>
  <si>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</si>
  <si>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</si>
  <si>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</si>
  <si>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</si>
  <si>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</si>
  <si>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</si>
  <si>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</si>
  <si>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</si>
  <si>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</si>
  <si>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</si>
  <si>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</si>
  <si>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</si>
  <si>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</si>
  <si>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</si>
  <si>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</si>
  <si>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</si>
  <si>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</si>
  <si>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</si>
  <si>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</si>
  <si>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</si>
  <si>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</si>
  <si>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</si>
  <si>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</si>
  <si>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</si>
  <si>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</si>
  <si>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</si>
  <si>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</si>
  <si>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</si>
  <si>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</si>
  <si>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</si>
  <si>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</si>
  <si>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</si>
  <si>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</si>
  <si>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</si>
  <si>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</si>
  <si>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</si>
  <si>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</si>
  <si>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</si>
  <si>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</si>
  <si>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</si>
  <si>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</si>
  <si>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</si>
  <si>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</si>
  <si>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</si>
  <si>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</si>
  <si>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</si>
  <si>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</si>
  <si>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</si>
  <si>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</si>
  <si>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</si>
  <si>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</si>
  <si>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</si>
  <si>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</si>
  <si>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</si>
  <si>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</si>
  <si>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</si>
  <si>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</si>
  <si>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</si>
  <si>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</si>
  <si>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</si>
  <si>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</si>
  <si>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</si>
  <si>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</si>
  <si>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</si>
  <si>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</si>
  <si>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</si>
  <si>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</si>
  <si>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</si>
  <si>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</si>
  <si>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</si>
  <si>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</si>
  <si>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</si>
  <si>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</si>
  <si>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</si>
  <si>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</si>
  <si>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</si>
  <si>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</si>
  <si>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</si>
  <si>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</si>
  <si>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</si>
  <si>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</si>
  <si>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</si>
  <si>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</si>
  <si>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</si>
  <si>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</si>
  <si>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</si>
  <si>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</si>
  <si>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</si>
  <si>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</si>
  <si>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</si>
  <si>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</si>
  <si>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</si>
  <si>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</si>
  <si>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</si>
  <si>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</si>
  <si>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</si>
  <si>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</si>
  <si>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</si>
  <si>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</si>
  <si>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</si>
  <si>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</si>
  <si>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</si>
  <si>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</si>
  <si>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</si>
  <si>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</si>
  <si>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</si>
  <si>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</si>
  <si>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</si>
  <si>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</si>
  <si>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</si>
  <si>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</si>
  <si>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</si>
  <si>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</si>
  <si>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</si>
  <si>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</si>
  <si>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</si>
  <si>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</si>
  <si>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</si>
  <si>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</si>
  <si>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</si>
  <si>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</si>
  <si>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</si>
  <si>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</si>
  <si>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</si>
  <si>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</si>
  <si>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</si>
  <si>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</si>
  <si>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</si>
  <si>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</si>
  <si>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</si>
  <si>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</si>
  <si>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</si>
  <si>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</si>
  <si>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</si>
  <si>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</si>
  <si>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</si>
  <si>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</si>
  <si>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</si>
  <si>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</si>
  <si>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</si>
  <si>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</si>
  <si>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</si>
  <si>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</si>
  <si>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</si>
  <si>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</si>
  <si>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</si>
  <si>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</si>
  <si>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</si>
  <si>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</si>
  <si>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</si>
  <si>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</si>
  <si>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</si>
  <si>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</si>
  <si>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</si>
  <si>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</si>
  <si>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</si>
  <si>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</si>
  <si>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</si>
  <si>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</si>
  <si>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</si>
  <si>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</si>
  <si>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</si>
  <si>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</si>
  <si>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</si>
  <si>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</si>
  <si>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</si>
  <si>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</si>
  <si>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</si>
  <si>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</si>
  <si>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</si>
  <si>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</si>
  <si>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</si>
  <si>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</si>
  <si>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</si>
  <si>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</si>
  <si>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</si>
  <si>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</si>
  <si>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</si>
  <si>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</si>
  <si>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</si>
  <si>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</si>
  <si>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</si>
  <si>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</si>
  <si>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</si>
  <si>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</si>
  <si>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</si>
  <si>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</si>
  <si>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</si>
  <si>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</si>
  <si>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</si>
  <si>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</si>
  <si>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</si>
  <si>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</si>
  <si>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</si>
  <si>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</si>
  <si>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</si>
  <si>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</si>
  <si>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</si>
  <si>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</si>
  <si>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</si>
  <si>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</si>
  <si>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</si>
  <si>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</si>
  <si>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</si>
  <si>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</si>
  <si>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</si>
  <si>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</si>
  <si>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</si>
  <si>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</si>
  <si>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</si>
  <si>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</si>
  <si>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</si>
  <si>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</si>
  <si>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</si>
  <si>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</si>
  <si>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</si>
  <si>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</si>
  <si>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</si>
  <si>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</si>
  <si>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</si>
  <si>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</si>
  <si>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</si>
  <si>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</si>
  <si>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</si>
  <si>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</si>
  <si>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</si>
  <si>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</si>
  <si>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</si>
  <si>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</si>
  <si>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</si>
  <si>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</si>
  <si>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</si>
  <si>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</si>
  <si>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</si>
  <si>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</si>
  <si>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</si>
  <si>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</si>
  <si>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</si>
  <si>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</si>
  <si>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</si>
  <si>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</si>
  <si>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</si>
  <si>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</si>
  <si>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</si>
  <si>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</si>
  <si>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</si>
  <si>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</si>
  <si>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</si>
  <si>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</si>
  <si>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</si>
  <si>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</si>
  <si>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</si>
  <si>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</si>
  <si>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</si>
  <si>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</si>
  <si>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</si>
  <si>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</si>
  <si>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</si>
  <si>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</si>
  <si>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</si>
  <si>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</si>
  <si>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</si>
  <si>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</si>
  <si>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</si>
  <si>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</si>
  <si>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</si>
  <si>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</si>
  <si>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</si>
  <si>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</si>
  <si>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</si>
  <si>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</si>
  <si>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</si>
  <si>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</si>
  <si>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</si>
  <si>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</si>
  <si>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</si>
  <si>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</si>
  <si>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</si>
  <si>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</si>
  <si>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</si>
  <si>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</si>
  <si>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</si>
  <si>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</si>
  <si>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</si>
  <si>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</si>
  <si>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</si>
  <si>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</si>
  <si>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</si>
  <si>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</si>
  <si>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</si>
  <si>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</si>
  <si>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</si>
  <si>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</si>
  <si>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</si>
  <si>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</si>
  <si>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</si>
  <si>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</si>
  <si>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</si>
  <si>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</si>
  <si>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</si>
  <si>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</si>
  <si>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</si>
  <si>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</si>
  <si>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</si>
  <si>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</si>
  <si>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</si>
  <si>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</si>
  <si>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</si>
  <si>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</si>
  <si>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</si>
  <si>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</si>
  <si>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</si>
  <si>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</si>
  <si>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</si>
  <si>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</si>
  <si>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</si>
  <si>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</si>
  <si>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</si>
  <si>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</si>
  <si>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</si>
  <si>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</si>
  <si>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</si>
  <si>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</si>
  <si>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</si>
  <si>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</si>
  <si>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</si>
  <si>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</si>
  <si>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</si>
  <si>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</si>
  <si>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</si>
  <si>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</si>
  <si>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</si>
  <si>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</si>
  <si>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</si>
  <si>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</si>
  <si>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</si>
  <si>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</si>
  <si>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</si>
  <si>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</si>
  <si>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</si>
  <si>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</si>
  <si>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</si>
  <si>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</si>
  <si>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</si>
  <si>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</si>
  <si>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</si>
  <si>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</si>
  <si>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</si>
  <si>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</si>
  <si>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</si>
  <si>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</si>
  <si>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</si>
  <si>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</si>
  <si>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</si>
  <si>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</si>
  <si>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</si>
  <si>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</si>
  <si>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</si>
  <si>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</si>
  <si>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</si>
  <si>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</si>
  <si>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</si>
  <si>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</si>
  <si>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</si>
  <si>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</si>
  <si>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</si>
  <si>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</si>
  <si>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</si>
  <si>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</si>
  <si>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</si>
  <si>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</si>
  <si>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</si>
  <si>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</si>
  <si>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</si>
  <si>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</si>
  <si>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</si>
  <si>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</si>
  <si>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</si>
  <si>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</si>
  <si>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</si>
  <si>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</si>
  <si>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</si>
  <si>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</si>
  <si>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</si>
  <si>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</si>
  <si>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</si>
  <si>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</si>
  <si>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</si>
  <si>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</si>
  <si>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</si>
  <si>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</si>
  <si>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</si>
  <si>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</si>
  <si>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</si>
  <si>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</si>
  <si>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</si>
  <si>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</si>
  <si>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</si>
  <si>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</si>
  <si>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</si>
  <si>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</si>
  <si>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</si>
  <si>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</si>
  <si>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</si>
  <si>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</si>
  <si>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</si>
  <si>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</si>
  <si>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</si>
  <si>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</si>
  <si>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</si>
  <si>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</si>
  <si>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</si>
  <si>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</si>
  <si>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</si>
  <si>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</si>
  <si>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</si>
  <si>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</si>
  <si>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</si>
  <si>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</si>
  <si>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</si>
  <si>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</si>
  <si>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</si>
  <si>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</si>
  <si>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</si>
  <si>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</si>
  <si>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</si>
  <si>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</si>
  <si>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</si>
  <si>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</si>
  <si>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</si>
  <si>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</si>
  <si>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</si>
  <si>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</si>
  <si>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</si>
  <si>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</si>
  <si>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</si>
  <si>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</si>
  <si>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</si>
  <si>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</si>
  <si>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</si>
  <si>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</si>
  <si>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</si>
  <si>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</si>
  <si>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</si>
  <si>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</si>
  <si>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</si>
  <si>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</si>
  <si>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</si>
  <si>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</si>
  <si>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</si>
  <si>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</si>
  <si>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</si>
  <si>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</si>
  <si>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</si>
  <si>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</si>
  <si>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</si>
  <si>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</si>
  <si>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</si>
  <si>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</si>
  <si>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</si>
  <si>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</si>
  <si>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</si>
  <si>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</si>
  <si>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</si>
  <si>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</si>
  <si>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</si>
  <si>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</si>
  <si>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</si>
  <si>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</si>
  <si>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</si>
  <si>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</si>
  <si>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</si>
  <si>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</si>
  <si>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</si>
  <si>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</si>
  <si>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</si>
  <si>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</si>
  <si>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</si>
  <si>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</si>
  <si>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</si>
  <si>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</si>
  <si>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</si>
  <si>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</si>
  <si>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</si>
  <si>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</si>
  <si>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</si>
  <si>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</si>
  <si>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</si>
  <si>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</si>
  <si>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</si>
  <si>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</si>
  <si>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</si>
  <si>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</si>
  <si>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</si>
  <si>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</si>
  <si>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</si>
  <si>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</si>
  <si>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</si>
  <si>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</si>
  <si>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</si>
  <si>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</si>
  <si>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</si>
  <si>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</si>
  <si>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</si>
  <si>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</si>
  <si>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</si>
  <si>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</si>
  <si>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</si>
  <si>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</si>
  <si>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</si>
  <si>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</si>
  <si>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</si>
  <si>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</si>
  <si>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</si>
  <si>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</si>
  <si>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</si>
  <si>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</si>
  <si>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</si>
  <si>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</si>
  <si>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</si>
  <si>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</si>
  <si>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</si>
  <si>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</si>
  <si>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</si>
  <si>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</si>
  <si>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</si>
  <si>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</si>
  <si>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</si>
  <si>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</si>
  <si>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</si>
  <si>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</si>
  <si>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</si>
  <si>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</si>
  <si>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</si>
  <si>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</si>
  <si>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</si>
  <si>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</si>
  <si>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</si>
  <si>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</si>
  <si>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</si>
  <si>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</si>
  <si>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</si>
  <si>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</si>
  <si>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</si>
  <si>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</si>
  <si>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</si>
  <si>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</si>
  <si>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</si>
  <si>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</si>
  <si>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</si>
  <si>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</si>
  <si>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</si>
  <si>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</si>
  <si>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</si>
  <si>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</si>
  <si>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</si>
  <si>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</si>
  <si>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</si>
  <si>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</si>
  <si>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</si>
  <si>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</si>
  <si>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</si>
  <si>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</si>
  <si>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</si>
  <si>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</si>
  <si>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</si>
  <si>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</si>
  <si>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</si>
  <si>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</si>
  <si>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</si>
  <si>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</si>
  <si>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</si>
  <si>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</si>
  <si>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</si>
  <si>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</si>
  <si>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</si>
  <si>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</si>
  <si>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</si>
  <si>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</si>
  <si>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</si>
  <si>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</si>
  <si>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</si>
  <si>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</si>
  <si>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</si>
  <si>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</si>
  <si>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</si>
  <si>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</si>
  <si>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</si>
  <si>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</si>
  <si>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</si>
  <si>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</si>
  <si>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</si>
  <si>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</si>
  <si>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</si>
  <si>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</si>
  <si>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</si>
  <si>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</si>
  <si>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</si>
  <si>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</si>
  <si>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</si>
  <si>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</si>
  <si>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</si>
  <si>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</si>
  <si>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</si>
  <si>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</si>
  <si>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</si>
  <si>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</si>
  <si>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</si>
  <si>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</si>
  <si>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</si>
  <si>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</si>
  <si>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</si>
  <si>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</si>
  <si>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</si>
  <si>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</si>
  <si>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</si>
  <si>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</si>
  <si>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</si>
  <si>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</si>
  <si>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</si>
  <si>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</si>
  <si>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</si>
  <si>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</si>
  <si>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</si>
  <si>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</si>
  <si>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</si>
  <si>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</si>
  <si>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</si>
  <si>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</si>
  <si>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</si>
  <si>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</si>
  <si>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</si>
  <si>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</si>
  <si>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</si>
  <si>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</si>
  <si>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</si>
  <si>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</si>
  <si>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</si>
  <si>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</si>
  <si>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</si>
  <si>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</si>
  <si>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</si>
  <si>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</si>
  <si>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</si>
  <si>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</si>
  <si>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</si>
  <si>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</si>
  <si>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</si>
  <si>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</si>
  <si>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</si>
  <si>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</si>
  <si>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</si>
  <si>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</si>
  <si>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</si>
  <si>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</si>
  <si>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</si>
  <si>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</si>
  <si>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</si>
  <si>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</si>
  <si>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</si>
  <si>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</si>
  <si>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</si>
  <si>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</si>
  <si>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</si>
  <si>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</si>
  <si>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</si>
  <si>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</si>
  <si>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</si>
  <si>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</si>
  <si>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</si>
  <si>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</si>
  <si>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</si>
  <si>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</si>
  <si>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</si>
  <si>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</si>
  <si>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</si>
  <si>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</si>
  <si>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</si>
  <si>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</si>
  <si>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</si>
  <si>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</si>
  <si>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</si>
  <si>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</si>
  <si>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</si>
  <si>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</si>
  <si>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</si>
  <si>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</si>
  <si>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</si>
  <si>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</si>
  <si>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</si>
  <si>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</si>
  <si>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</si>
  <si>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</si>
  <si>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</si>
  <si>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</si>
  <si>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</si>
  <si>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</si>
  <si>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</si>
  <si>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</si>
  <si>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</si>
  <si>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</si>
  <si>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</si>
  <si>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</si>
  <si>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</si>
  <si>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</si>
  <si>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</si>
  <si>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</si>
  <si>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</si>
  <si>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</si>
  <si>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</si>
  <si>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</si>
  <si>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</si>
  <si>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</si>
  <si>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</si>
  <si>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</si>
  <si>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</si>
  <si>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</si>
  <si>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</si>
  <si>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</si>
  <si>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</si>
  <si>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</si>
  <si>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</si>
  <si>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</si>
  <si>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</si>
  <si>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</si>
  <si>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</si>
  <si>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</si>
  <si>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</si>
  <si>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</si>
  <si>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</si>
  <si>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</si>
  <si>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</si>
  <si>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</si>
  <si>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</si>
  <si>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</si>
  <si>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</si>
  <si>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</si>
  <si>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</si>
  <si>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</si>
  <si>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</si>
  <si>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</si>
  <si>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</si>
  <si>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</si>
  <si>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</si>
  <si>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</si>
  <si>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</si>
  <si>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</si>
  <si>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</si>
  <si>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</si>
  <si>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</si>
  <si>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</si>
  <si>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</si>
  <si>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</si>
  <si>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</si>
  <si>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</si>
  <si>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</si>
  <si>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</si>
  <si>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</si>
  <si>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</si>
  <si>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</si>
  <si>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</si>
  <si>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</si>
  <si>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</si>
  <si>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</si>
  <si>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</si>
  <si>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</si>
  <si>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</si>
  <si>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</si>
  <si>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</si>
  <si>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</si>
  <si>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</si>
  <si>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</si>
  <si>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</si>
  <si>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</si>
  <si>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</si>
  <si>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</si>
  <si>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</si>
  <si>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</si>
  <si>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</si>
  <si>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</si>
  <si>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</si>
  <si>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</si>
  <si>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</si>
  <si>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</si>
  <si>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</si>
  <si>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</si>
  <si>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</si>
  <si>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</si>
  <si>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</si>
  <si>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</si>
  <si>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</si>
  <si>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</si>
  <si>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</si>
  <si>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</si>
  <si>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</si>
  <si>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</si>
  <si>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</si>
  <si>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</si>
  <si>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</si>
  <si>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</si>
  <si>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</si>
  <si>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</si>
  <si>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</si>
  <si>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</si>
  <si>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</si>
  <si>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</si>
  <si>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</si>
  <si>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</si>
  <si>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</si>
  <si>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</si>
  <si>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</si>
  <si>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</si>
  <si>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</si>
  <si>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</si>
  <si>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</si>
  <si>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</si>
  <si>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</si>
  <si>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</si>
  <si>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</si>
  <si>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</si>
  <si>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</si>
  <si>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</si>
  <si>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</si>
  <si>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</si>
  <si>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</si>
  <si>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</si>
  <si>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</si>
  <si>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</si>
  <si>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</si>
  <si>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</si>
  <si>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</si>
  <si>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</si>
  <si>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</si>
  <si>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</si>
  <si>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</si>
  <si>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</si>
  <si>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</si>
  <si>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</si>
  <si>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</si>
  <si>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</si>
  <si>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</si>
  <si>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</si>
  <si>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</si>
  <si>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</si>
  <si>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</si>
  <si>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</si>
  <si>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</si>
  <si>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</si>
  <si>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</si>
  <si>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</si>
  <si>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</si>
  <si>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</si>
  <si>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</si>
  <si>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</si>
  <si>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</si>
  <si>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</si>
  <si>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</si>
  <si>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</si>
  <si>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</si>
  <si>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</si>
  <si>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</si>
  <si>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</si>
  <si>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</si>
  <si>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</si>
  <si>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</si>
  <si>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</si>
  <si>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</si>
  <si>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</si>
  <si>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</si>
  <si>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</si>
  <si>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</si>
  <si>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</si>
  <si>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</si>
  <si>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</si>
  <si>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</si>
  <si>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</si>
  <si>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</si>
  <si>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</si>
  <si>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</si>
  <si>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</si>
  <si>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</si>
  <si>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</si>
  <si>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</si>
  <si>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</si>
  <si>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</si>
  <si>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</si>
  <si>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</si>
  <si>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</si>
  <si>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</si>
  <si>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</si>
  <si>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</si>
  <si>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</si>
  <si>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</si>
  <si>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</si>
  <si>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</si>
  <si>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</si>
  <si>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</si>
  <si>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</si>
  <si>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</si>
  <si>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</si>
  <si>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</si>
  <si>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</si>
  <si>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</si>
  <si>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</si>
  <si>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</si>
  <si>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</si>
  <si>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</si>
  <si>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</si>
  <si>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</si>
  <si>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</si>
  <si>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</si>
  <si>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</si>
  <si>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</si>
  <si>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</si>
  <si>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</si>
  <si>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</si>
  <si>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</si>
  <si>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</si>
  <si>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</si>
  <si>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</si>
  <si>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</si>
  <si>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</si>
  <si>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</si>
  <si>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</si>
  <si>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</si>
  <si>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</si>
  <si>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</si>
  <si>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</si>
  <si>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</si>
  <si>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</si>
  <si>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</si>
  <si>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</si>
  <si>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</si>
  <si>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</si>
  <si>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</si>
  <si>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</si>
  <si>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</si>
  <si>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</si>
  <si>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</si>
  <si>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</si>
  <si>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</si>
  <si>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</si>
  <si>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</si>
  <si>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</si>
  <si>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</si>
  <si>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</si>
  <si>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</si>
  <si>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</si>
  <si>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</si>
  <si>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</si>
  <si>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</si>
  <si>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</si>
  <si>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</si>
  <si>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</si>
  <si>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</si>
  <si>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</si>
  <si>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</si>
  <si>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</si>
  <si>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</si>
  <si>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</si>
  <si>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</si>
  <si>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</si>
  <si>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</si>
  <si>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</si>
  <si>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</si>
  <si>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</si>
  <si>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</si>
  <si>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</si>
  <si>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</si>
  <si>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</si>
  <si>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</si>
  <si>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</si>
  <si>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</si>
  <si>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</si>
  <si>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</si>
  <si>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</si>
  <si>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</si>
  <si>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</si>
  <si>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</si>
  <si>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</si>
  <si>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</si>
  <si>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</si>
  <si>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</si>
  <si>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</si>
  <si>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</si>
  <si>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</si>
  <si>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</si>
  <si>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</si>
  <si>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</si>
  <si>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</si>
  <si>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</si>
  <si>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</si>
  <si>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</si>
  <si>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</si>
  <si>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</si>
  <si>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</si>
  <si>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</si>
  <si>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</si>
  <si>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</si>
  <si>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</si>
  <si>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</si>
  <si>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</si>
  <si>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</si>
  <si>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</si>
  <si>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</si>
  <si>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</si>
  <si>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</si>
  <si>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</si>
  <si>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</si>
  <si>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</si>
  <si>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</si>
  <si>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</si>
  <si>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</si>
  <si>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</si>
  <si>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</si>
  <si>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</si>
  <si>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</si>
  <si>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</si>
  <si>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</si>
  <si>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</si>
  <si>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</si>
  <si>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</si>
  <si>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</si>
  <si>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</si>
  <si>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</si>
  <si>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</si>
  <si>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</si>
  <si>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</si>
  <si>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</si>
  <si>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</si>
  <si>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</si>
  <si>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</si>
  <si>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</si>
  <si>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</si>
  <si>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</si>
  <si>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</si>
  <si>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</si>
  <si>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</si>
  <si>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</si>
  <si>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</si>
  <si>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</si>
  <si>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</si>
  <si>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</si>
  <si>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</si>
  <si>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</si>
  <si>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</si>
  <si>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</si>
  <si>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</si>
  <si>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</si>
  <si>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</si>
  <si>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</si>
  <si>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</si>
  <si>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</si>
  <si>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</si>
  <si>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</si>
  <si>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</si>
  <si>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</si>
  <si>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</si>
  <si>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</si>
  <si>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</si>
  <si>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</si>
  <si>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</si>
  <si>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</si>
  <si>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</si>
  <si>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</si>
  <si>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</si>
  <si>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</si>
  <si>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</si>
  <si>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</si>
  <si>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</si>
  <si>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</si>
  <si>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</si>
  <si>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</si>
  <si>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</si>
  <si>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</si>
  <si>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</si>
  <si>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</si>
  <si>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</si>
  <si>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</si>
  <si>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</si>
  <si>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</si>
  <si>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</si>
  <si>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</si>
  <si>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</si>
  <si>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</si>
  <si>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</si>
  <si>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</si>
  <si>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</si>
  <si>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</si>
  <si>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</si>
  <si>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</si>
  <si>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</si>
  <si>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</si>
  <si>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</si>
  <si>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</si>
  <si>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</si>
  <si>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</si>
  <si>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</si>
  <si>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</si>
  <si>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</si>
  <si>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</si>
  <si>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</si>
  <si>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</si>
  <si>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</si>
  <si>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</si>
  <si>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</si>
  <si>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</si>
  <si>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</si>
  <si>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</si>
  <si>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</si>
  <si>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</si>
  <si>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</si>
  <si>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</si>
  <si>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</si>
  <si>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</si>
  <si>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</si>
  <si>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</si>
  <si>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</si>
  <si>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</si>
  <si>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</si>
  <si>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</si>
  <si>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</si>
  <si>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</si>
  <si>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</si>
  <si>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</si>
  <si>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</si>
  <si>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</si>
  <si>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</si>
  <si>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</si>
  <si>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</si>
  <si>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</si>
  <si>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</si>
  <si>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</si>
  <si>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</si>
  <si>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</si>
  <si>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</si>
  <si>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</si>
  <si>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</si>
  <si>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</si>
  <si>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</si>
  <si>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</si>
  <si>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</si>
  <si>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</si>
  <si>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</si>
  <si>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</si>
  <si>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</si>
  <si>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</si>
  <si>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</si>
  <si>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</si>
  <si>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</si>
  <si>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</si>
  <si>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</si>
  <si>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</si>
  <si>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</si>
  <si>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</si>
  <si>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</si>
  <si>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</si>
  <si>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</si>
  <si>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</si>
  <si>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</si>
  <si>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</si>
  <si>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</si>
  <si>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</si>
  <si>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</si>
  <si>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</si>
  <si>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</si>
  <si>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</si>
  <si>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</si>
  <si>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</si>
  <si>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</si>
  <si>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</si>
  <si>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</si>
  <si>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</si>
  <si>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</si>
  <si>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</si>
  <si>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</si>
  <si>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</si>
  <si>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</si>
  <si>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</si>
  <si>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</si>
  <si>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</si>
  <si>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</si>
  <si>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</si>
  <si>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</si>
  <si>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</si>
  <si>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</si>
  <si>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</si>
  <si>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</si>
  <si>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</si>
  <si>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</si>
  <si>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</si>
  <si>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</si>
  <si>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</si>
  <si>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</si>
  <si>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</si>
  <si>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</si>
  <si>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</si>
  <si>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</si>
  <si>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</si>
  <si>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</si>
  <si>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</si>
  <si>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</si>
  <si>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</si>
  <si>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</si>
  <si>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</si>
  <si>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</si>
  <si>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</si>
  <si>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</si>
  <si>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</si>
  <si>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</si>
  <si>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</si>
  <si>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</si>
  <si>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</si>
  <si>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</si>
  <si>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</si>
  <si>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</si>
  <si>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</si>
  <si>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</si>
  <si>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</si>
  <si>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</si>
  <si>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</si>
  <si>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</si>
  <si>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</si>
  <si>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</si>
  <si>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</si>
  <si>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</si>
  <si>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</si>
  <si>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</si>
  <si>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</si>
  <si>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</si>
  <si>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</si>
  <si>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</si>
  <si>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</si>
  <si>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</si>
  <si>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</si>
  <si>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</si>
  <si>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</si>
  <si>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</si>
  <si>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</si>
  <si>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</si>
  <si>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</si>
  <si>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</si>
  <si>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</si>
  <si>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</si>
  <si>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</si>
  <si>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</si>
  <si>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</si>
  <si>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</si>
  <si>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</si>
  <si>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</si>
  <si>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</si>
  <si>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</si>
  <si>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</si>
  <si>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</si>
  <si>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</si>
  <si>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</si>
  <si>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</si>
  <si>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</si>
  <si>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</si>
  <si>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</si>
  <si>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</si>
  <si>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</si>
  <si>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</si>
  <si>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</si>
  <si>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</si>
  <si>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</si>
  <si>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</si>
  <si>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</si>
  <si>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</si>
  <si>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</si>
  <si>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</si>
  <si>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</si>
  <si>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</si>
  <si>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</si>
  <si>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</si>
  <si>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</si>
  <si>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</si>
  <si>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</si>
  <si>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</si>
  <si>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</si>
  <si>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</si>
  <si>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</si>
  <si>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</si>
  <si>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</si>
  <si>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</si>
  <si>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</si>
  <si>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</si>
  <si>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</si>
  <si>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</si>
  <si>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</si>
  <si>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</si>
  <si>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</si>
  <si>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</si>
  <si>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</si>
  <si>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</si>
  <si>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</si>
  <si>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</si>
  <si>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</si>
  <si>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</si>
  <si>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</si>
  <si>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</si>
  <si>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</si>
  <si>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</si>
  <si>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</si>
  <si>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</si>
  <si>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</si>
  <si>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</si>
  <si>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</si>
  <si>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</si>
  <si>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</si>
  <si>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</si>
  <si>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</si>
  <si>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</si>
  <si>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</si>
  <si>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</si>
  <si>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</si>
  <si>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</si>
  <si>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</si>
  <si>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</si>
  <si>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</si>
  <si>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</si>
  <si>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</si>
  <si>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</si>
  <si>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</si>
  <si>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</si>
  <si>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</si>
  <si>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</si>
  <si>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</si>
  <si>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</si>
  <si>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</si>
  <si>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</si>
  <si>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</si>
  <si>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</si>
  <si>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</si>
  <si>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</si>
  <si>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</si>
  <si>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</si>
  <si>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</si>
  <si>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</si>
  <si>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</si>
  <si>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</si>
  <si>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</si>
  <si>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</si>
  <si>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</si>
  <si>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</si>
  <si>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</si>
  <si>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</si>
  <si>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</si>
  <si>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</si>
  <si>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</si>
  <si>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</si>
  <si>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</si>
  <si>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</si>
  <si>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</si>
  <si>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</si>
  <si>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</si>
  <si>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</si>
  <si>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</si>
  <si>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</si>
  <si>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</si>
  <si>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</si>
  <si>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</si>
  <si>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</si>
  <si>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</si>
  <si>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</si>
  <si>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</si>
  <si>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</si>
  <si>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</si>
  <si>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</si>
  <si>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</si>
  <si>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</si>
  <si>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</si>
  <si>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</si>
  <si>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</si>
  <si>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</si>
  <si>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</si>
  <si>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</si>
  <si>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</si>
  <si>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</si>
  <si>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</si>
  <si>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</si>
  <si>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</si>
  <si>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</si>
  <si>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</si>
  <si>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</si>
  <si>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</si>
  <si>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</si>
  <si>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</si>
  <si>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</si>
  <si>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</si>
  <si>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</si>
  <si>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</si>
  <si>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</si>
  <si>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</si>
  <si>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</si>
  <si>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</si>
  <si>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</si>
  <si>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</si>
  <si>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</si>
  <si>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</si>
  <si>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</si>
  <si>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</si>
  <si>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</si>
  <si>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</si>
  <si>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</si>
  <si>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</si>
  <si>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</si>
  <si>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</si>
  <si>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</si>
  <si>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</si>
  <si>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</si>
  <si>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</si>
  <si>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</si>
  <si>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</si>
  <si>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</si>
  <si>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</si>
  <si>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</si>
  <si>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</si>
  <si>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</si>
  <si>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</si>
  <si>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</si>
  <si>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</si>
  <si>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</si>
  <si>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</si>
  <si>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</si>
  <si>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</si>
  <si>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</si>
  <si>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</si>
  <si>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</si>
  <si>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</si>
  <si>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</si>
  <si>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</si>
  <si>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</si>
  <si>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</si>
  <si>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</si>
  <si>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</si>
  <si>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</si>
  <si>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</si>
  <si>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</si>
  <si>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</si>
  <si>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</si>
  <si>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</si>
  <si>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</si>
  <si>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</si>
  <si>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</si>
  <si>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</si>
  <si>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</si>
  <si>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</si>
  <si>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</si>
  <si>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</si>
  <si>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</si>
  <si>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</si>
  <si>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</si>
  <si>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</si>
  <si>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</si>
  <si>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</si>
  <si>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</si>
  <si>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</si>
  <si>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</si>
  <si>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</si>
  <si>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</si>
  <si>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</si>
  <si>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</si>
  <si>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</si>
  <si>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</si>
  <si>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</si>
  <si>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</si>
  <si>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</si>
  <si>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</si>
  <si>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</si>
  <si>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</si>
  <si>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</si>
  <si>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</si>
  <si>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</si>
  <si>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</si>
  <si>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</si>
  <si>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</si>
  <si>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</si>
  <si>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</si>
  <si>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</si>
  <si>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</si>
  <si>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</si>
  <si>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</si>
  <si>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</si>
  <si>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</si>
  <si>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</si>
  <si>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</si>
  <si>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</si>
  <si>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</si>
  <si>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</si>
  <si>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</si>
  <si>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</si>
  <si>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</si>
  <si>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</si>
  <si>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</si>
  <si>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</si>
  <si>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</si>
  <si>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</si>
  <si>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</si>
  <si>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</si>
  <si>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</si>
  <si>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</si>
  <si>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</si>
  <si>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</si>
  <si>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</si>
  <si>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</si>
  <si>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</si>
  <si>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</si>
  <si>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</si>
  <si>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</si>
  <si>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</si>
  <si>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</si>
  <si>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</si>
  <si>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</si>
  <si>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</si>
  <si>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</si>
  <si>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</si>
  <si>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</si>
  <si>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</si>
  <si>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</si>
  <si>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</si>
  <si>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</si>
  <si>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</si>
  <si>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</si>
  <si>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</si>
  <si>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</si>
  <si>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</si>
  <si>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</si>
  <si>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</si>
  <si>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</si>
  <si>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</si>
  <si>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</si>
  <si>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</si>
  <si>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</si>
  <si>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</si>
  <si>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</si>
  <si>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</si>
  <si>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</si>
  <si>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</si>
  <si>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</si>
  <si>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</si>
  <si>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</si>
  <si>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</si>
  <si>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</si>
  <si>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</si>
  <si>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</si>
  <si>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</si>
  <si>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</si>
  <si>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</si>
  <si>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</si>
  <si>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</si>
  <si>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</si>
  <si>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</si>
  <si>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</si>
  <si>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</si>
  <si>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</si>
  <si>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</si>
  <si>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</si>
  <si>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</si>
  <si>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</si>
  <si>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</si>
  <si>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</si>
  <si>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</si>
  <si>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</si>
  <si>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</si>
  <si>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</si>
  <si>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</si>
  <si>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</si>
  <si>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</si>
  <si>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</si>
  <si>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</si>
  <si>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</si>
  <si>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</si>
  <si>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</si>
  <si>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</si>
  <si>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</si>
  <si>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</si>
  <si>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</si>
  <si>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</si>
  <si>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</si>
  <si>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</si>
  <si>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</si>
  <si>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</si>
  <si>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</si>
  <si>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</si>
  <si>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</si>
  <si>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</si>
  <si>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</si>
  <si>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</si>
  <si>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</si>
  <si>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</si>
  <si>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</si>
  <si>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</si>
  <si>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</si>
  <si>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</si>
  <si>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</si>
  <si>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</si>
  <si>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</si>
  <si>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</si>
  <si>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</si>
  <si>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</si>
  <si>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</si>
  <si>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</si>
  <si>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</si>
  <si>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</si>
  <si>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</si>
  <si>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</si>
  <si>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</si>
  <si>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</si>
  <si>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</si>
  <si>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</si>
  <si>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</si>
  <si>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</si>
  <si>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</si>
  <si>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</si>
  <si>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</si>
  <si>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</si>
  <si>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</si>
  <si>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</si>
  <si>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</si>
  <si>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</si>
  <si>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</si>
  <si>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</si>
  <si>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</si>
  <si>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</si>
  <si>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</si>
  <si>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</si>
  <si>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</si>
  <si>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</si>
  <si>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</si>
  <si>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</si>
  <si>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</si>
  <si>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</si>
  <si>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</si>
  <si>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</si>
  <si>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</si>
  <si>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</si>
  <si>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</si>
  <si>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</si>
  <si>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</si>
  <si>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</si>
  <si>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</si>
  <si>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</si>
  <si>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</si>
  <si>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</si>
  <si>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</si>
  <si>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</si>
  <si>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</si>
  <si>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</si>
  <si>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</si>
  <si>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</si>
  <si>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</si>
  <si>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</si>
  <si>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</si>
  <si>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</si>
  <si>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</si>
  <si>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</si>
  <si>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</si>
  <si>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</si>
  <si>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</si>
  <si>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</si>
  <si>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</si>
  <si>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</si>
  <si>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</si>
  <si>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</si>
  <si>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</si>
  <si>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</si>
  <si>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</si>
  <si>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</si>
  <si>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</si>
  <si>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</si>
  <si>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</si>
  <si>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</si>
  <si>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</si>
  <si>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</si>
  <si>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</si>
  <si>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</si>
  <si>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</si>
  <si>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</si>
  <si>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</si>
  <si>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</si>
  <si>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</si>
  <si>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</si>
  <si>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</si>
  <si>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</si>
  <si>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</si>
  <si>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</si>
  <si>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</si>
  <si>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</si>
  <si>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</si>
  <si>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</si>
  <si>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</si>
  <si>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</si>
  <si>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</si>
  <si>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</si>
  <si>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</si>
  <si>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</si>
  <si>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</si>
  <si>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</si>
  <si>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</si>
  <si>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</si>
  <si>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</si>
  <si>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</si>
  <si>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</si>
  <si>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</si>
  <si>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</si>
  <si>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</si>
  <si>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</si>
  <si>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</si>
  <si>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</si>
  <si>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</si>
  <si>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</si>
  <si>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</si>
  <si>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</si>
  <si>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</si>
  <si>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</si>
  <si>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</si>
  <si>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</si>
  <si>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</si>
  <si>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</si>
  <si>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</si>
  <si>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</si>
  <si>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</si>
  <si>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</si>
  <si>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</si>
  <si>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</si>
  <si>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</si>
  <si>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</si>
  <si>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</si>
  <si>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</si>
  <si>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</si>
  <si>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</si>
  <si>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</si>
  <si>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</si>
  <si>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</si>
  <si>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</si>
  <si>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</si>
  <si>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</si>
  <si>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</si>
  <si>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</si>
  <si>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</si>
  <si>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</si>
  <si>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</si>
  <si>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</si>
  <si>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</si>
  <si>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</si>
  <si>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</si>
  <si>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</si>
  <si>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</si>
  <si>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</si>
  <si>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</si>
  <si>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</si>
  <si>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</si>
  <si>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</si>
  <si>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</si>
  <si>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</si>
  <si>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</si>
  <si>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</si>
  <si>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</si>
  <si>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</si>
  <si>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</si>
  <si>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</si>
  <si>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</si>
  <si>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</si>
  <si>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</si>
  <si>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</si>
  <si>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</si>
  <si>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</si>
  <si>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</si>
  <si>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</si>
  <si>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</si>
  <si>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</si>
  <si>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</si>
  <si>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</si>
  <si>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</si>
  <si>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</si>
  <si>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</si>
  <si>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</si>
  <si>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</si>
  <si>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</si>
  <si>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</si>
  <si>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</si>
  <si>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</si>
  <si>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</si>
  <si>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</si>
  <si>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</si>
  <si>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</si>
  <si>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</si>
  <si>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</si>
  <si>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</si>
  <si>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</si>
  <si>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</si>
  <si>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</si>
  <si>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</si>
  <si>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</si>
  <si>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</si>
  <si>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</si>
  <si>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</si>
  <si>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</si>
  <si>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</si>
  <si>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</si>
  <si>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</si>
  <si>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</si>
  <si>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</si>
  <si>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</si>
  <si>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</si>
  <si>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</si>
  <si>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</si>
  <si>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</si>
  <si>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</si>
  <si>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</si>
  <si>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</si>
  <si>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</si>
  <si>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</si>
  <si>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</si>
  <si>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</si>
  <si>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</si>
  <si>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</si>
  <si>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</si>
  <si>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</si>
  <si>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</si>
  <si>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</si>
  <si>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</si>
  <si>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</si>
  <si>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</si>
  <si>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</si>
  <si>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</si>
  <si>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</si>
  <si>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</si>
  <si>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</si>
  <si>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</si>
  <si>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</si>
  <si>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</si>
  <si>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</si>
  <si>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</si>
  <si>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</si>
  <si>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</si>
  <si>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</si>
  <si>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</si>
  <si>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</si>
  <si>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</si>
  <si>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</si>
  <si>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</si>
  <si>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</si>
  <si>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</si>
  <si>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</si>
  <si>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</si>
  <si>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</si>
  <si>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</si>
  <si>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</si>
  <si>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</si>
  <si>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</si>
  <si>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</si>
  <si>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</si>
  <si>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</si>
  <si>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</si>
  <si>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</si>
  <si>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</si>
  <si>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</si>
  <si>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</si>
  <si>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</si>
  <si>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</si>
  <si>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</si>
  <si>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</si>
  <si>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</si>
  <si>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</si>
  <si>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</si>
  <si>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</si>
  <si>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</si>
  <si>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</si>
  <si>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</si>
  <si>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</si>
  <si>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</si>
  <si>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</si>
  <si>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</si>
  <si>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</si>
  <si>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</si>
  <si>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</si>
  <si>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</si>
  <si>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</si>
  <si>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</si>
  <si>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</si>
  <si>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</si>
  <si>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</si>
  <si>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</si>
  <si>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</si>
  <si>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</si>
  <si>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</si>
  <si>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</si>
  <si>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</si>
  <si>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</si>
  <si>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</si>
  <si>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</si>
  <si>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</si>
  <si>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</si>
  <si>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</si>
  <si>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</si>
  <si>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</si>
  <si>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</si>
  <si>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</si>
  <si>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</si>
  <si>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</si>
  <si>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</si>
  <si>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</si>
  <si>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</si>
  <si>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</si>
  <si>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</si>
  <si>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</si>
  <si>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</si>
  <si>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</si>
  <si>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</si>
  <si>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</si>
  <si>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</si>
  <si>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</si>
  <si>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</si>
  <si>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</si>
  <si>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</si>
  <si>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</si>
  <si>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</si>
  <si>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</si>
  <si>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</si>
  <si>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</si>
  <si>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</si>
  <si>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</si>
  <si>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</si>
  <si>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</si>
  <si>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</si>
  <si>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</si>
  <si>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</si>
  <si>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</si>
  <si>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</si>
  <si>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</si>
  <si>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</si>
  <si>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</si>
  <si>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</si>
  <si>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</si>
  <si>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</si>
  <si>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</si>
  <si>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</si>
  <si>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</si>
  <si>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</si>
  <si>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</si>
  <si>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</si>
  <si>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</si>
  <si>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</si>
  <si>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</si>
  <si>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</si>
  <si>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</si>
  <si>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</si>
  <si>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</si>
  <si>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</si>
  <si>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</si>
  <si>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</si>
  <si>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</si>
  <si>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</si>
  <si>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</si>
  <si>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</si>
  <si>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</si>
  <si>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</si>
  <si>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</si>
  <si>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</si>
  <si>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</si>
  <si>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</si>
  <si>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</si>
  <si>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</si>
  <si>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</si>
  <si>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</si>
  <si>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</si>
  <si>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</si>
  <si>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</si>
  <si>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</si>
  <si>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</si>
  <si>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</si>
  <si>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</si>
  <si>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</si>
  <si>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</si>
  <si>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</si>
  <si>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</si>
  <si>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</si>
  <si>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</si>
  <si>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</si>
  <si>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</si>
  <si>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</si>
  <si>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</si>
  <si>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</si>
  <si>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</si>
  <si>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</si>
  <si>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</si>
  <si>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</si>
  <si>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</si>
  <si>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</si>
  <si>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</si>
  <si>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</si>
  <si>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</si>
  <si>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</si>
  <si>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</si>
  <si>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</si>
  <si>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</si>
  <si>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</si>
  <si>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</si>
  <si>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</si>
  <si>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</si>
  <si>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</si>
  <si>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</si>
  <si>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</si>
  <si>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</si>
  <si>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</si>
  <si>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</si>
  <si>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</si>
  <si>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</si>
  <si>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</si>
  <si>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</si>
  <si>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</si>
  <si>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</si>
  <si>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</si>
  <si>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</si>
  <si>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</si>
  <si>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</si>
  <si>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</si>
  <si>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</si>
  <si>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</si>
  <si>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</si>
  <si>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</si>
  <si>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</si>
  <si>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</si>
  <si>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</si>
  <si>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</si>
  <si>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</si>
  <si>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</si>
  <si>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</si>
  <si>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</si>
  <si>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</si>
  <si>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</si>
  <si>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</si>
  <si>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</si>
  <si>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</si>
  <si>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</si>
  <si>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</si>
  <si>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</si>
  <si>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</si>
  <si>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</si>
  <si>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</si>
  <si>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</si>
  <si>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</si>
  <si>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</si>
  <si>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</si>
  <si>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</si>
  <si>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</si>
  <si>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</si>
  <si>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</si>
  <si>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</si>
  <si>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</si>
  <si>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</si>
  <si>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</si>
  <si>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</si>
  <si>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</si>
  <si>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</si>
  <si>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</si>
  <si>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</si>
  <si>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</si>
  <si>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</si>
  <si>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</si>
  <si>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</si>
  <si>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</si>
  <si>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</si>
  <si>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</si>
  <si>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</si>
  <si>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</si>
  <si>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</si>
  <si>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</si>
  <si>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</si>
  <si>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</si>
  <si>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</si>
  <si>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</si>
  <si>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</si>
  <si>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</si>
  <si>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</si>
  <si>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</si>
  <si>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</si>
  <si>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</si>
  <si>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</si>
  <si>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</si>
  <si>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</si>
  <si>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</si>
  <si>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</si>
  <si>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</si>
  <si>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</si>
  <si>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</si>
  <si>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</si>
  <si>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</si>
  <si>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</si>
  <si>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</si>
  <si>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</si>
  <si>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</si>
  <si>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</si>
  <si>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</si>
  <si>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</si>
  <si>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</si>
  <si>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</si>
  <si>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</si>
  <si>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</si>
  <si>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</si>
  <si>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</si>
  <si>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</si>
  <si>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</si>
  <si>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</si>
  <si>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</si>
  <si>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</si>
  <si>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</si>
  <si>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</si>
  <si>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</si>
  <si>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</si>
  <si>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</si>
  <si>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</si>
  <si>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</si>
  <si>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</si>
  <si>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</si>
  <si>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</si>
  <si>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</si>
  <si>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</si>
  <si>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</si>
  <si>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</si>
  <si>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</si>
  <si>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</si>
  <si>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</si>
  <si>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</si>
  <si>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</si>
  <si>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</si>
  <si>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</si>
  <si>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</si>
  <si>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</si>
  <si>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</si>
  <si>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</si>
  <si>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</si>
  <si>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</si>
  <si>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</si>
  <si>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</si>
  <si>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</si>
  <si>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</si>
  <si>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</si>
  <si>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</si>
  <si>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</si>
  <si>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</si>
  <si>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</si>
  <si>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</si>
  <si>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</si>
  <si>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</si>
  <si>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</si>
  <si>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</si>
  <si>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</si>
  <si>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</si>
  <si>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</si>
  <si>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</si>
  <si>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</si>
  <si>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</si>
  <si>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</si>
  <si>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</si>
  <si>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</si>
  <si>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</si>
  <si>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</si>
  <si>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</si>
  <si>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</si>
  <si>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</si>
  <si>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</si>
  <si>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</si>
  <si>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</si>
  <si>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</si>
  <si>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</si>
  <si>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</si>
  <si>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</si>
  <si>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</si>
  <si>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</si>
  <si>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</si>
  <si>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</si>
  <si>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</si>
  <si>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</si>
  <si>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</si>
  <si>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</si>
  <si>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</si>
  <si>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</si>
  <si>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</si>
  <si>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</si>
  <si>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</si>
  <si>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</si>
  <si>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</si>
  <si>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</si>
  <si>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</si>
  <si>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</si>
  <si>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</si>
  <si>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</si>
  <si>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</si>
  <si>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</si>
  <si>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</si>
  <si>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</si>
  <si>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</si>
  <si>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</si>
  <si>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</si>
  <si>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</si>
  <si>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</si>
  <si>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</si>
  <si>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</si>
  <si>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</si>
  <si>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</si>
  <si>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</si>
  <si>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</si>
  <si>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</si>
  <si>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</si>
  <si>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</si>
  <si>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</si>
  <si>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</si>
  <si>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</si>
  <si>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</si>
  <si>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</si>
  <si>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</si>
  <si>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</si>
  <si>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</si>
  <si>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</si>
  <si>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</si>
  <si>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</si>
  <si>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</si>
  <si>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</si>
  <si>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</si>
  <si>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</si>
  <si>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</si>
  <si>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</si>
  <si>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</si>
  <si>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</si>
  <si>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</si>
  <si>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</si>
  <si>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</si>
  <si>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</si>
  <si>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</si>
  <si>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</si>
  <si>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</si>
  <si>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</si>
  <si>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</si>
  <si>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</si>
  <si>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</si>
  <si>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</si>
  <si>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</si>
  <si>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</si>
  <si>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</si>
  <si>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</si>
  <si>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</si>
  <si>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</si>
  <si>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</si>
  <si>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</si>
  <si>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</si>
  <si>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</si>
  <si>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</si>
  <si>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</si>
  <si>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</si>
  <si>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</si>
  <si>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</si>
  <si>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</si>
  <si>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</si>
  <si>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</si>
  <si>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</si>
  <si>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</si>
  <si>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</si>
  <si>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</si>
  <si>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</si>
  <si>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</si>
  <si>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</si>
  <si>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</si>
  <si>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</si>
  <si>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</si>
  <si>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</si>
  <si>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</si>
  <si>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</si>
  <si>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</si>
  <si>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</si>
  <si>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</si>
  <si>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</si>
  <si>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</si>
  <si>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</si>
  <si>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</si>
  <si>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</si>
  <si>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</si>
  <si>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</si>
  <si>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</si>
  <si>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</si>
  <si>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</si>
  <si>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</si>
  <si>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</si>
  <si>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</si>
  <si>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</si>
  <si>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</si>
  <si>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</si>
  <si>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</si>
  <si>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</si>
  <si>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</si>
  <si>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</si>
  <si>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</si>
  <si>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</si>
  <si>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</si>
  <si>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</si>
  <si>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</si>
  <si>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</si>
  <si>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</si>
  <si>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</si>
  <si>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</si>
  <si>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</si>
  <si>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</si>
  <si>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</si>
  <si>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</si>
  <si>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</si>
  <si>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</si>
  <si>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</si>
  <si>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</si>
  <si>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</si>
  <si>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</si>
  <si>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</si>
  <si>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</si>
  <si>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</si>
  <si>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</si>
  <si>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</si>
  <si>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</si>
  <si>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</si>
  <si>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</si>
  <si>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</si>
  <si>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</si>
  <si>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</si>
  <si>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</si>
  <si>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</si>
  <si>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</si>
  <si>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</si>
  <si>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</si>
  <si>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</si>
  <si>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</si>
  <si>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</si>
  <si>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</si>
  <si>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</si>
  <si>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</si>
  <si>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</si>
  <si>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</si>
  <si>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</si>
  <si>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</si>
  <si>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</si>
  <si>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</si>
  <si>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</si>
  <si>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</si>
  <si>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</si>
  <si>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</si>
  <si>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</si>
  <si>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</si>
  <si>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</si>
  <si>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</si>
  <si>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</si>
  <si>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</si>
  <si>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</si>
  <si>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</si>
  <si>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</si>
  <si>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</si>
  <si>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</si>
  <si>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</si>
  <si>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</si>
  <si>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</si>
  <si>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</si>
  <si>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</si>
  <si>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</si>
  <si>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</si>
  <si>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</si>
  <si>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</si>
  <si>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</si>
  <si>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</si>
  <si>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</si>
  <si>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</si>
  <si>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</si>
  <si>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</si>
  <si>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</si>
  <si>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</si>
  <si>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</si>
  <si>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</si>
  <si>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</si>
  <si>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</si>
  <si>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</si>
  <si>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</si>
  <si>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</si>
  <si>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</si>
  <si>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</si>
  <si>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</si>
  <si>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</si>
  <si>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</si>
  <si>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</si>
  <si>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</si>
  <si>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</si>
  <si>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</si>
  <si>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</si>
  <si>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</si>
  <si>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</si>
  <si>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</si>
  <si>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</si>
  <si>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</si>
  <si>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</si>
  <si>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</si>
  <si>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</si>
  <si>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</si>
  <si>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</si>
  <si>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</si>
  <si>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</si>
  <si>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</si>
  <si>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</si>
  <si>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</si>
  <si>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</si>
  <si>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</si>
  <si>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</si>
  <si>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</si>
  <si>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</si>
  <si>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</si>
  <si>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</si>
  <si>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</si>
  <si>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</si>
  <si>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</si>
  <si>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</si>
  <si>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</si>
  <si>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</si>
  <si>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</si>
  <si>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</si>
  <si>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</si>
  <si>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</si>
  <si>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</si>
  <si>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</si>
  <si>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</si>
  <si>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</si>
  <si>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</si>
  <si>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</si>
  <si>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</si>
  <si>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</si>
  <si>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</si>
  <si>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</si>
  <si>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</si>
  <si>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</si>
  <si>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</si>
  <si>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</si>
  <si>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</si>
  <si>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</si>
  <si>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</si>
  <si>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</si>
  <si>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</si>
  <si>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</si>
  <si>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</si>
  <si>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</si>
  <si>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</si>
  <si>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</si>
  <si>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</si>
  <si>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</si>
  <si>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</si>
  <si>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</si>
  <si>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</si>
  <si>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</si>
  <si>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</si>
  <si>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</si>
  <si>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</si>
  <si>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</si>
  <si>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</si>
  <si>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</si>
  <si>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</si>
  <si>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</si>
  <si>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</si>
  <si>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</si>
  <si>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</si>
  <si>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</si>
  <si>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</si>
  <si>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</si>
  <si>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</si>
  <si>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</si>
  <si>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</si>
  <si>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</si>
  <si>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</si>
  <si>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</si>
  <si>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</si>
  <si>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</si>
  <si>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</si>
  <si>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</si>
  <si>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</si>
  <si>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</si>
  <si>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</si>
  <si>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</si>
  <si>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</si>
  <si>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</si>
  <si>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</si>
  <si>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</si>
  <si>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</si>
  <si>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</si>
  <si>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</si>
  <si>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</si>
  <si>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</si>
  <si>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</si>
  <si>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</si>
  <si>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</si>
  <si>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</si>
  <si>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</si>
  <si>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</si>
  <si>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</si>
  <si>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</si>
  <si>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</si>
  <si>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</si>
  <si>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</si>
  <si>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</si>
  <si>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</si>
  <si>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</si>
  <si>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</si>
  <si>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</si>
  <si>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</si>
  <si>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</si>
  <si>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</si>
  <si>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</si>
  <si>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</si>
  <si>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</si>
  <si>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</si>
  <si>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</si>
  <si>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</si>
  <si>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</si>
  <si>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</si>
  <si>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</si>
  <si>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</si>
  <si>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</si>
  <si>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</si>
  <si>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</si>
  <si>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</si>
  <si>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</si>
  <si>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</si>
  <si>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</si>
  <si>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</si>
  <si>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</si>
  <si>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</si>
  <si>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</si>
  <si>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</si>
  <si>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</si>
  <si>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</si>
  <si>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</si>
  <si>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</si>
  <si>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</si>
  <si>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</si>
  <si>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</si>
  <si>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</si>
  <si>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</si>
  <si>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</si>
  <si>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</si>
  <si>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</si>
  <si>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</si>
  <si>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</si>
  <si>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</si>
  <si>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</si>
  <si>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</si>
  <si>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</si>
  <si>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</si>
  <si>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</si>
  <si>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</si>
  <si>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</si>
  <si>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</si>
  <si>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</si>
  <si>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</si>
  <si>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</si>
  <si>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</si>
  <si>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</si>
  <si>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</si>
  <si>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</si>
  <si>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</si>
  <si>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</si>
  <si>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</si>
  <si>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</si>
  <si>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</si>
  <si>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</si>
  <si>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</si>
  <si>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</si>
  <si>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</si>
  <si>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</si>
  <si>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</si>
  <si>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</si>
  <si>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</si>
  <si>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</si>
  <si>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</si>
  <si>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</si>
  <si>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</si>
  <si>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</si>
  <si>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</si>
  <si>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</si>
  <si>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</si>
  <si>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</si>
  <si>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</si>
  <si>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</si>
  <si>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</si>
  <si>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</si>
  <si>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</si>
  <si>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</si>
  <si>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</si>
  <si>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</si>
  <si>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</si>
  <si>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</si>
  <si>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</si>
  <si>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</si>
  <si>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</si>
  <si>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</si>
  <si>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</si>
  <si>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</si>
  <si>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</si>
  <si>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</si>
  <si>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</si>
  <si>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</si>
  <si>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</si>
  <si>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</si>
  <si>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</si>
  <si>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</si>
  <si>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</si>
  <si>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</si>
  <si>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</si>
  <si>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</si>
  <si>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</si>
  <si>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</si>
  <si>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</si>
  <si>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</si>
  <si>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</si>
  <si>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</si>
  <si>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</si>
  <si>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</si>
  <si>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</si>
  <si>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</si>
  <si>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</si>
  <si>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</si>
  <si>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</si>
  <si>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</si>
  <si>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</si>
  <si>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</si>
  <si>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</si>
  <si>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</si>
  <si>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</si>
  <si>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</si>
  <si>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</si>
  <si>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</si>
  <si>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</si>
  <si>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</si>
  <si>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</si>
  <si>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</si>
  <si>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</si>
  <si>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</si>
  <si>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</si>
  <si>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</si>
  <si>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</si>
  <si>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</si>
  <si>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</si>
  <si>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</si>
  <si>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</si>
  <si>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</si>
  <si>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</si>
  <si>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</si>
  <si>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</si>
  <si>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</si>
  <si>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</si>
  <si>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</si>
  <si>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</si>
  <si>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</si>
  <si>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</si>
  <si>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</si>
  <si>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</si>
  <si>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</si>
  <si>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</si>
  <si>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</si>
  <si>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</si>
  <si>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</si>
  <si>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</si>
  <si>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</si>
  <si>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</si>
  <si>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</si>
  <si>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</si>
  <si>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</si>
  <si>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</si>
  <si>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</si>
  <si>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</si>
  <si>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</si>
  <si>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</si>
  <si>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</si>
  <si>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</si>
  <si>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</si>
  <si>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</si>
  <si>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</si>
  <si>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</si>
  <si>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</si>
  <si>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</si>
  <si>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</si>
  <si>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</si>
  <si>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</si>
  <si>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</si>
  <si>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</si>
  <si>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</si>
  <si>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</si>
  <si>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</si>
  <si>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</si>
  <si>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</si>
  <si>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</si>
  <si>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</si>
  <si>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</si>
  <si>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</si>
  <si>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</si>
  <si>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</si>
  <si>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</si>
  <si>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</si>
  <si>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</si>
  <si>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</si>
  <si>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</si>
  <si>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</si>
  <si>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</si>
  <si>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</si>
  <si>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</si>
  <si>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</si>
  <si>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</si>
  <si>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</si>
  <si>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</si>
  <si>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</si>
  <si>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</si>
  <si>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</si>
  <si>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</si>
  <si>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</si>
  <si>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</si>
  <si>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</si>
  <si>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</si>
  <si>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</si>
  <si>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</si>
  <si>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</si>
  <si>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</si>
  <si>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</si>
  <si>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</si>
  <si>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</si>
  <si>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</si>
  <si>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</si>
  <si>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</si>
  <si>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</si>
  <si>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</si>
  <si>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</si>
  <si>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</si>
  <si>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</si>
  <si>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</si>
  <si>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</si>
  <si>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</si>
  <si>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</si>
  <si>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</si>
  <si>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</si>
  <si>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</si>
  <si>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</si>
  <si>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</si>
  <si>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</si>
  <si>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</si>
  <si>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</si>
  <si>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</si>
  <si>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</si>
  <si>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</si>
  <si>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</si>
  <si>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</si>
  <si>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</si>
  <si>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</si>
  <si>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</si>
  <si>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</si>
  <si>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</si>
  <si>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</si>
  <si>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</si>
  <si>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</si>
  <si>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</si>
  <si>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</si>
  <si>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</si>
  <si>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</si>
  <si>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</si>
  <si>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</si>
  <si>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</si>
  <si>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</si>
  <si>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</si>
  <si>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</si>
  <si>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</si>
  <si>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</si>
  <si>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</si>
  <si>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</si>
  <si>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</si>
  <si>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</si>
  <si>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</si>
  <si>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</si>
  <si>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</si>
  <si>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</si>
  <si>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</si>
  <si>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</si>
  <si>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</si>
  <si>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</si>
  <si>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</si>
  <si>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</si>
  <si>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</si>
  <si>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</si>
  <si>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</si>
  <si>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</si>
  <si>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</si>
  <si>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</si>
  <si>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</si>
  <si>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</si>
  <si>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</si>
  <si>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</si>
  <si>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</si>
  <si>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</si>
  <si>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</si>
  <si>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</si>
  <si>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</si>
  <si>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</si>
  <si>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</si>
  <si>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</si>
  <si>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</si>
  <si>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</si>
  <si>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</si>
  <si>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</si>
  <si>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</si>
  <si>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</si>
  <si>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</si>
  <si>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</si>
  <si>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</si>
  <si>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</si>
  <si>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</si>
  <si>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</si>
  <si>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</si>
  <si>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</si>
  <si>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</si>
  <si>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</si>
  <si>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</si>
  <si>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</si>
  <si>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</si>
  <si>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</si>
  <si>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</si>
  <si>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</si>
  <si>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</si>
  <si>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</si>
  <si>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</si>
  <si>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</si>
  <si>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</si>
  <si>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</si>
  <si>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</si>
  <si>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</si>
  <si>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</si>
  <si>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</si>
  <si>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</si>
  <si>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</si>
  <si>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</si>
  <si>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</si>
  <si>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</si>
  <si>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</si>
  <si>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</si>
  <si>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</si>
  <si>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</si>
  <si>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</si>
  <si>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</si>
  <si>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</si>
  <si>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</si>
  <si>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</si>
  <si>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</si>
  <si>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</si>
  <si>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</si>
  <si>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</si>
  <si>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</si>
  <si>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</si>
  <si>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</si>
  <si>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</si>
  <si>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</si>
  <si>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</si>
  <si>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</si>
  <si>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</si>
  <si>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</si>
  <si>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</si>
  <si>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</si>
  <si>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</si>
  <si>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</si>
  <si>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</si>
  <si>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</si>
  <si>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</si>
  <si>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</si>
  <si>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</si>
  <si>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</si>
  <si>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</si>
  <si>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</si>
  <si>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</si>
  <si>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</si>
  <si>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</si>
  <si>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</si>
  <si>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</si>
  <si>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</si>
  <si>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</si>
  <si>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</si>
  <si>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</si>
  <si>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</si>
  <si>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</si>
  <si>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</si>
  <si>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</si>
  <si>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</si>
  <si>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</si>
  <si>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</si>
  <si>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</si>
  <si>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</si>
  <si>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</si>
  <si>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</si>
  <si>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</si>
  <si>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</si>
  <si>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</si>
  <si>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</si>
  <si>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</si>
  <si>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</si>
  <si>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</si>
  <si>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</si>
  <si>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</si>
  <si>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</si>
  <si>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</si>
  <si>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</si>
  <si>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</si>
  <si>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</si>
  <si>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</si>
  <si>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</si>
  <si>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</si>
  <si>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</si>
  <si>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</si>
  <si>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</si>
  <si>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</si>
  <si>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</si>
  <si>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</si>
  <si>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</si>
  <si>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</si>
  <si>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</si>
  <si>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</si>
  <si>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</si>
  <si>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</si>
  <si>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</si>
  <si>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</si>
  <si>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</si>
  <si>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</si>
  <si>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</si>
  <si>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</si>
  <si>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</si>
  <si>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</si>
  <si>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</si>
  <si>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</si>
  <si>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</si>
  <si>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</si>
  <si>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</si>
  <si>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</si>
  <si>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</si>
  <si>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</si>
  <si>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</si>
  <si>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</si>
  <si>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</si>
  <si>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</si>
  <si>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</si>
  <si>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</si>
  <si>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</si>
  <si>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</si>
  <si>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</si>
  <si>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</si>
  <si>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</si>
  <si>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</si>
  <si>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</si>
  <si>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</si>
  <si>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</si>
  <si>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</si>
  <si>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</si>
  <si>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</si>
  <si>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</si>
  <si>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</si>
  <si>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</si>
  <si>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</si>
  <si>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</si>
  <si>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</si>
  <si>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</si>
  <si>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</si>
  <si>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</si>
  <si>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</si>
  <si>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</si>
  <si>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</si>
  <si>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</si>
  <si>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</si>
  <si>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</si>
  <si>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</si>
  <si>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</si>
  <si>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</si>
  <si>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</si>
  <si>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</si>
  <si>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</si>
  <si>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</si>
  <si>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</si>
  <si>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</si>
  <si>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</si>
  <si>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</si>
  <si>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</si>
  <si>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</si>
  <si>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</si>
  <si>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</si>
  <si>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</si>
  <si>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</si>
  <si>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</si>
  <si>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</si>
  <si>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</si>
  <si>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</si>
  <si>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</si>
  <si>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</si>
  <si>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</si>
  <si>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</si>
  <si>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</si>
  <si>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</si>
  <si>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</si>
  <si>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</si>
  <si>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</si>
  <si>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</si>
  <si>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</si>
  <si>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</si>
  <si>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</si>
  <si>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</si>
  <si>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</si>
  <si>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</si>
  <si>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</si>
  <si>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</si>
  <si>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</si>
  <si>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</si>
  <si>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</si>
  <si>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</si>
  <si>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</si>
  <si>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</si>
  <si>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</si>
  <si>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</si>
  <si>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</si>
  <si>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</si>
  <si>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</si>
  <si>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</si>
  <si>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</si>
  <si>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</si>
  <si>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</si>
  <si>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</si>
  <si>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</si>
  <si>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</si>
  <si>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</si>
  <si>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</si>
  <si>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</si>
  <si>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</si>
  <si>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</si>
  <si>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</si>
  <si>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</si>
  <si>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</si>
  <si>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</si>
  <si>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</si>
  <si>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</si>
  <si>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</si>
  <si>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</si>
  <si>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</si>
  <si>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</si>
  <si>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</si>
  <si>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</si>
  <si>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</si>
  <si>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</si>
  <si>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</si>
  <si>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</si>
  <si>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</si>
  <si>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</si>
  <si>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</si>
  <si>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</si>
  <si>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</si>
  <si>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</si>
  <si>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</si>
  <si>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</si>
  <si>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</si>
  <si>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</si>
  <si>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</si>
  <si>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</si>
  <si>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</si>
  <si>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</si>
  <si>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</si>
  <si>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</si>
  <si>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</si>
  <si>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</si>
  <si>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</si>
  <si>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</si>
  <si>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</si>
  <si>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</si>
  <si>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</si>
  <si>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</si>
  <si>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</si>
  <si>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</si>
  <si>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</si>
  <si>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</si>
  <si>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</si>
  <si>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</si>
  <si>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</si>
  <si>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</si>
  <si>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</si>
  <si>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</si>
  <si>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</si>
  <si>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</si>
  <si>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</si>
  <si>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</si>
  <si>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</si>
  <si>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</si>
  <si>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</si>
  <si>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</si>
  <si>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</si>
  <si>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</si>
  <si>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</si>
  <si>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</si>
  <si>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</si>
  <si>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</si>
  <si>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</si>
  <si>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</si>
  <si>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</si>
  <si>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</si>
  <si>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</si>
  <si>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</si>
  <si>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</si>
  <si>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</si>
  <si>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</si>
  <si>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</si>
  <si>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</si>
  <si>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</si>
  <si>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</si>
  <si>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</si>
  <si>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</si>
  <si>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</si>
  <si>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</si>
  <si>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</si>
  <si>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</si>
  <si>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</si>
  <si>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</si>
  <si>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</si>
  <si>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</si>
  <si>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</si>
  <si>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</si>
  <si>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</si>
  <si>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</si>
  <si>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</si>
  <si>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</si>
  <si>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</si>
  <si>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</si>
  <si>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</si>
  <si>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</si>
  <si>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</si>
  <si>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</si>
  <si>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</si>
  <si>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</si>
  <si>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</si>
  <si>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</si>
  <si>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</si>
  <si>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</si>
  <si>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</si>
  <si>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</si>
  <si>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</si>
  <si>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</si>
  <si>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</si>
  <si>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</si>
  <si>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</si>
  <si>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</si>
  <si>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</si>
  <si>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</si>
  <si>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</si>
  <si>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</si>
  <si>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</si>
  <si>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</si>
  <si>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</si>
  <si>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</si>
  <si>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</si>
  <si>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</si>
  <si>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</si>
  <si>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</si>
  <si>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</si>
  <si>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</si>
  <si>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</si>
  <si>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</si>
  <si>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</si>
  <si>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</si>
  <si>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</si>
  <si>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</si>
  <si>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</si>
  <si>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</si>
  <si>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</si>
  <si>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</si>
  <si>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</si>
  <si>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</si>
  <si>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</si>
  <si>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</si>
  <si>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</si>
  <si>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</si>
  <si>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</si>
  <si>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</si>
  <si>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</si>
  <si>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</si>
  <si>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</si>
  <si>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</si>
  <si>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</si>
  <si>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</si>
  <si>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</si>
  <si>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</si>
  <si>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</si>
  <si>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</si>
  <si>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</si>
  <si>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</si>
  <si>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</si>
  <si>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</si>
  <si>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</si>
  <si>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</si>
  <si>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</si>
  <si>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</si>
  <si>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</si>
  <si>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</si>
  <si>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</si>
  <si>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</si>
  <si>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</si>
  <si>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</si>
  <si>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</si>
  <si>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</si>
  <si>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</si>
  <si>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</si>
  <si>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</si>
  <si>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</si>
  <si>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</si>
  <si>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</si>
  <si>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</si>
  <si>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</si>
  <si>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</si>
  <si>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</si>
  <si>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</si>
  <si>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</si>
  <si>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</si>
  <si>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</si>
  <si>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</si>
  <si>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</si>
  <si>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</si>
  <si>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</si>
  <si>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</si>
  <si>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</si>
  <si>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</si>
  <si>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</si>
  <si>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</si>
  <si>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</si>
  <si>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</si>
  <si>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</si>
  <si>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</si>
  <si>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</si>
  <si>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</si>
  <si>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</si>
  <si>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</si>
  <si>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</si>
  <si>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</si>
  <si>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</si>
  <si>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</si>
  <si>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</si>
  <si>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</si>
  <si>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</si>
  <si>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</si>
  <si>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</si>
  <si>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</si>
  <si>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</si>
  <si>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</si>
  <si>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</si>
  <si>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</si>
  <si>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</si>
  <si>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</si>
  <si>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</si>
  <si>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</si>
  <si>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</si>
  <si>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</si>
  <si>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</si>
  <si>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</si>
  <si>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</si>
  <si>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</si>
  <si>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</si>
  <si>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</si>
  <si>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</si>
  <si>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</si>
  <si>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</si>
  <si>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</si>
  <si>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</si>
  <si>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</si>
  <si>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</si>
  <si>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</si>
  <si>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</si>
  <si>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</si>
  <si>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</si>
  <si>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</si>
  <si>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</si>
  <si>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</si>
  <si>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</si>
  <si>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</si>
  <si>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</si>
  <si>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</si>
  <si>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</si>
  <si>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</si>
  <si>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</si>
  <si>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</si>
  <si>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</si>
  <si>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</si>
  <si>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</si>
  <si>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</si>
  <si>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</si>
  <si>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</si>
  <si>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</si>
  <si>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</si>
  <si>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</si>
  <si>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</si>
  <si>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</si>
  <si>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</si>
  <si>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</si>
  <si>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</si>
  <si>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</si>
  <si>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</si>
  <si>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</si>
  <si>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</si>
  <si>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</si>
  <si>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</si>
  <si>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</si>
  <si>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</si>
  <si>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</si>
  <si>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</si>
  <si>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</si>
  <si>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</si>
  <si>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</si>
  <si>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</si>
  <si>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</si>
  <si>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</si>
  <si>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</si>
  <si>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</si>
  <si>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</si>
  <si>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</si>
  <si>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</si>
  <si>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</si>
  <si>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</si>
  <si>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</si>
  <si>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</si>
  <si>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</si>
  <si>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</si>
  <si>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</si>
  <si>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</si>
  <si>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</si>
  <si>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</si>
  <si>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</si>
  <si>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</si>
  <si>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</si>
  <si>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</si>
  <si>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</si>
  <si>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</si>
  <si>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</si>
  <si>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</si>
  <si>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</si>
  <si>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</si>
  <si>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</si>
  <si>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</si>
  <si>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</si>
  <si>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</si>
  <si>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</si>
  <si>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</si>
  <si>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</si>
  <si>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</si>
  <si>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</si>
  <si>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</si>
  <si>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</si>
  <si>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</si>
  <si>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</si>
  <si>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</si>
  <si>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</si>
  <si>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</si>
  <si>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</si>
  <si>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</si>
  <si>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</si>
  <si>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</si>
  <si>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</si>
  <si>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</si>
  <si>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</si>
  <si>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</si>
  <si>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</si>
  <si>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</si>
  <si>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</si>
  <si>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</si>
  <si>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</si>
  <si>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</si>
  <si>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</si>
  <si>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</si>
  <si>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</si>
  <si>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</si>
  <si>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</si>
  <si>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</si>
  <si>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</si>
  <si>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</si>
  <si>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</si>
  <si>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</si>
  <si>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</si>
  <si>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</si>
  <si>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</si>
  <si>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</si>
  <si>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</si>
  <si>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</si>
  <si>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</si>
  <si>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</si>
  <si>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</si>
  <si>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</si>
  <si>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</si>
  <si>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</si>
  <si>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</si>
  <si>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</si>
  <si>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</si>
  <si>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</si>
  <si>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</si>
  <si>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</si>
  <si>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</si>
  <si>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</si>
  <si>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</si>
  <si>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</si>
  <si>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</si>
  <si>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</si>
  <si>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</si>
  <si>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</si>
  <si>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</si>
  <si>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</si>
  <si>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</si>
  <si>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</si>
  <si>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</si>
  <si>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</si>
  <si>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</si>
  <si>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</si>
  <si>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</si>
  <si>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</si>
  <si>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</si>
  <si>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</si>
  <si>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</si>
  <si>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</si>
  <si>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</si>
  <si>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</si>
  <si>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</si>
  <si>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</si>
  <si>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</si>
  <si>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</si>
  <si>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</si>
  <si>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</si>
  <si>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</si>
  <si>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</si>
  <si>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</si>
  <si>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</si>
  <si>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</si>
  <si>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</si>
  <si>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</si>
  <si>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</si>
  <si>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</si>
  <si>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</si>
  <si>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</si>
  <si>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</si>
  <si>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</si>
  <si>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</si>
  <si>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</si>
  <si>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</si>
  <si>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</si>
  <si>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</si>
  <si>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</si>
  <si>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</si>
  <si>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</si>
  <si>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</si>
  <si>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</si>
  <si>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</si>
  <si>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</si>
  <si>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</si>
  <si>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</si>
  <si>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</si>
  <si>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</si>
  <si>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</si>
  <si>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</si>
  <si>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</si>
  <si>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</si>
  <si>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</si>
  <si>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</si>
  <si>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</si>
  <si>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</si>
  <si>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</si>
  <si>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</si>
  <si>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</si>
  <si>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</si>
  <si>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</si>
  <si>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</si>
  <si>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</si>
  <si>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</si>
  <si>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</si>
  <si>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</si>
  <si>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</si>
  <si>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</si>
  <si>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</si>
  <si>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</si>
  <si>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</si>
  <si>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</si>
  <si>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</si>
  <si>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</si>
  <si>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</si>
  <si>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</si>
  <si>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</si>
  <si>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</si>
  <si>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</si>
  <si>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</si>
  <si>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</si>
  <si>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</si>
  <si>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</si>
  <si>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</si>
  <si>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</si>
  <si>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</si>
  <si>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</si>
  <si>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</si>
  <si>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</si>
  <si>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</si>
  <si>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</si>
  <si>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</si>
  <si>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</si>
  <si>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</si>
  <si>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</si>
  <si>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</si>
  <si>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</si>
  <si>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</si>
  <si>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</si>
  <si>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</si>
  <si>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</si>
  <si>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</si>
  <si>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</si>
  <si>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</si>
  <si>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</si>
  <si>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</si>
  <si>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</si>
  <si>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</si>
  <si>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</si>
  <si>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</si>
  <si>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</si>
  <si>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</si>
  <si>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</si>
  <si>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</si>
  <si>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</si>
  <si>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</si>
  <si>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</si>
  <si>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</si>
  <si>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</si>
  <si>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</si>
  <si>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</si>
  <si>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</si>
  <si>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</si>
  <si>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</si>
  <si>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</si>
  <si>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</si>
  <si>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</si>
  <si>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</si>
  <si>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</si>
  <si>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</si>
  <si>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</si>
  <si>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</si>
  <si>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</si>
  <si>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</si>
  <si>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</si>
  <si>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</si>
  <si>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</si>
  <si>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</si>
  <si>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</si>
  <si>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</si>
  <si>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</si>
  <si>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</si>
  <si>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</si>
  <si>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</si>
  <si>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</si>
  <si>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</si>
  <si>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</si>
  <si>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</si>
  <si>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</si>
  <si>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</si>
  <si>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</si>
  <si>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</si>
  <si>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</si>
  <si>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</si>
  <si>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</si>
  <si>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</si>
  <si>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</si>
  <si>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</si>
  <si>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</si>
  <si>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</si>
  <si>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</si>
  <si>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</si>
  <si>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</si>
  <si>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</si>
  <si>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</si>
  <si>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</si>
  <si>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</si>
  <si>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</si>
  <si>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</si>
  <si>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</si>
  <si>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</si>
  <si>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</si>
  <si>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</si>
  <si>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</si>
  <si>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</si>
  <si>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</si>
  <si>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</si>
  <si>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</si>
  <si>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</si>
  <si>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</si>
  <si>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</si>
  <si>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</si>
  <si>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</si>
  <si>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</si>
  <si>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</si>
  <si>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</si>
  <si>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</si>
  <si>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</si>
  <si>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</si>
  <si>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</si>
  <si>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</si>
  <si>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</si>
  <si>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</si>
  <si>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</si>
  <si>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</si>
  <si>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</si>
  <si>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</si>
  <si>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</si>
  <si>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</si>
  <si>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</si>
  <si>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</si>
  <si>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</si>
  <si>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</si>
  <si>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</si>
  <si>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</si>
  <si>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</si>
  <si>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</si>
  <si>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</si>
  <si>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</si>
  <si>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</si>
  <si>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</si>
  <si>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</si>
  <si>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</si>
  <si>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</si>
  <si>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</si>
  <si>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</si>
  <si>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</si>
  <si>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</si>
  <si>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</si>
  <si>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</si>
  <si>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</si>
  <si>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</si>
  <si>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</si>
  <si>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</si>
  <si>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</si>
  <si>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</si>
  <si>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</si>
  <si>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</si>
  <si>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</si>
  <si>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</si>
  <si>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</si>
  <si>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</si>
  <si>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</si>
  <si>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</si>
  <si>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</si>
  <si>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</si>
  <si>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</si>
  <si>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</si>
  <si>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</si>
  <si>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</si>
  <si>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</si>
  <si>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</si>
  <si>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</si>
  <si>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</si>
  <si>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</si>
  <si>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</si>
  <si>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</si>
  <si>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</si>
  <si>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</si>
  <si>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</si>
  <si>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</si>
  <si>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</si>
  <si>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</si>
  <si>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</si>
  <si>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</si>
  <si>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</si>
  <si>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</si>
  <si>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</si>
  <si>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</si>
  <si>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</si>
  <si>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</si>
  <si>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</si>
  <si>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</si>
  <si>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</si>
  <si>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</si>
  <si>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</si>
  <si>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</si>
  <si>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</si>
  <si>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</si>
  <si>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</si>
  <si>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</si>
  <si>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</si>
  <si>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</si>
  <si>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</si>
  <si>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</si>
  <si>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</si>
  <si>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</si>
  <si>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</si>
  <si>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</si>
  <si>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</si>
  <si>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</si>
  <si>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</si>
  <si>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</si>
  <si>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</si>
  <si>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</si>
  <si>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</si>
  <si>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</si>
  <si>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</si>
  <si>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</si>
  <si>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</si>
  <si>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</si>
  <si>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</si>
  <si>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</si>
  <si>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</si>
  <si>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</si>
  <si>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</si>
  <si>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</si>
  <si>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</si>
  <si>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</si>
  <si>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</si>
  <si>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</si>
  <si>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</si>
  <si>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</si>
  <si>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</si>
  <si>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</si>
  <si>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</si>
  <si>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</si>
  <si>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</si>
  <si>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</si>
  <si>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</si>
  <si>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</si>
  <si>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</si>
  <si>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</si>
  <si>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</si>
  <si>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</si>
  <si>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</si>
  <si>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</si>
  <si>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</si>
  <si>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</si>
  <si>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</si>
  <si>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</si>
  <si>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</si>
  <si>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</si>
  <si>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</si>
  <si>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</si>
  <si>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</si>
  <si>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</si>
  <si>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</si>
  <si>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</si>
  <si>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</si>
  <si>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</si>
  <si>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</si>
  <si>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</si>
  <si>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</si>
  <si>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</si>
  <si>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</si>
  <si>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</si>
  <si>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</si>
  <si>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</si>
  <si>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</si>
  <si>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</si>
  <si>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</si>
  <si>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</si>
  <si>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</si>
  <si>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</si>
  <si>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</si>
  <si>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</si>
  <si>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</si>
  <si>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</si>
  <si>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</si>
  <si>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</si>
  <si>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</si>
  <si>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</si>
  <si>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</si>
  <si>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</si>
  <si>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</si>
  <si>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</si>
  <si>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</si>
  <si>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</si>
  <si>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</si>
  <si>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</si>
  <si>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</si>
  <si>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</si>
  <si>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</si>
  <si>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</si>
  <si>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</si>
  <si>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</si>
  <si>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</si>
  <si>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</si>
  <si>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</si>
  <si>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</si>
  <si>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</si>
  <si>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</si>
  <si>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</si>
  <si>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</si>
  <si>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</si>
  <si>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</si>
  <si>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</si>
  <si>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</si>
  <si>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</si>
  <si>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</si>
  <si>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</si>
  <si>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</si>
  <si>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</si>
  <si>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</si>
  <si>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</si>
  <si>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</si>
  <si>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</si>
  <si>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</si>
  <si>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</si>
  <si>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</si>
  <si>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</si>
  <si>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</si>
  <si>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</si>
  <si>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</si>
  <si>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</si>
  <si>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</si>
  <si>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</si>
  <si>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John Lee</t>
  </si>
  <si>
    <t>Bead Electronics</t>
  </si>
  <si>
    <t>David Brenton</t>
  </si>
  <si>
    <t>203-301-0270</t>
  </si>
  <si>
    <t>on@beadindustries.com</t>
  </si>
  <si>
    <t>dbrenton@beadindustries.com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</si>
</sst>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brenton@bead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on@bead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0"/>
      <c r="B2" s="38" t="s">
        <v>847</v>
      </c>
      <c r="C2" s="36"/>
      <c r="D2" s="206"/>
      <c r="E2" s="3"/>
      <c r="F2" s="36"/>
      <c r="G2" s="34"/>
    </row>
    <row r="3" spans="1:7">
      <c r="A3" s="370"/>
      <c r="B3" s="5" t="s">
        <v>839</v>
      </c>
      <c r="C3" s="6"/>
      <c r="D3" s="207"/>
      <c r="E3" s="3"/>
      <c r="F3" s="6"/>
      <c r="G3" s="34"/>
    </row>
    <row r="4" spans="1:7" ht="15.75">
      <c r="A4" s="370"/>
      <c r="B4" s="41" t="s">
        <v>849</v>
      </c>
      <c r="C4" s="7"/>
      <c r="D4" s="208"/>
      <c r="E4" s="3"/>
      <c r="F4" s="7"/>
      <c r="G4" s="34"/>
    </row>
    <row r="5" spans="1:7">
      <c r="A5" s="370"/>
      <c r="B5" s="40" t="s">
        <v>1040</v>
      </c>
      <c r="C5" s="4"/>
      <c r="D5" s="209"/>
      <c r="E5" s="3"/>
      <c r="F5" s="4"/>
      <c r="G5" s="34"/>
    </row>
    <row r="6" spans="1:7">
      <c r="A6" s="370"/>
      <c r="B6" s="8"/>
      <c r="C6" s="8"/>
      <c r="D6" s="210"/>
      <c r="E6" s="8"/>
      <c r="F6" s="8"/>
      <c r="G6" s="34"/>
    </row>
    <row r="7" spans="1:7">
      <c r="A7" s="370"/>
      <c r="B7" s="8"/>
      <c r="C7" s="8"/>
      <c r="D7" s="210"/>
      <c r="E7" s="8"/>
      <c r="F7" s="8"/>
      <c r="G7" s="34"/>
    </row>
    <row r="8" spans="1:7">
      <c r="A8" s="370"/>
      <c r="B8" s="8"/>
      <c r="C8" s="8"/>
      <c r="D8" s="210"/>
      <c r="E8" s="8"/>
      <c r="F8" s="8"/>
      <c r="G8" s="34"/>
    </row>
    <row r="9" spans="1:7">
      <c r="A9" s="370"/>
      <c r="B9" s="373" t="s">
        <v>850</v>
      </c>
      <c r="C9" s="373"/>
      <c r="D9" s="373"/>
      <c r="E9" s="373"/>
      <c r="F9" s="373"/>
      <c r="G9" s="34"/>
    </row>
    <row r="10" spans="1:7" ht="27" customHeight="1">
      <c r="A10" s="370"/>
      <c r="B10" s="374" t="s">
        <v>438</v>
      </c>
      <c r="C10" s="374"/>
      <c r="D10" s="374"/>
      <c r="E10" s="374"/>
      <c r="F10" s="374"/>
      <c r="G10" s="34"/>
    </row>
    <row r="11" spans="1:7" ht="27" customHeight="1">
      <c r="A11" s="370"/>
      <c r="B11" s="375"/>
      <c r="C11" s="375"/>
      <c r="D11" s="375"/>
      <c r="E11" s="375"/>
      <c r="F11" s="375"/>
      <c r="G11" s="34"/>
    </row>
    <row r="12" spans="1:7">
      <c r="A12" s="370"/>
      <c r="B12" s="42" t="s">
        <v>848</v>
      </c>
      <c r="C12" s="43" t="s">
        <v>851</v>
      </c>
      <c r="D12" s="211" t="s">
        <v>852</v>
      </c>
      <c r="E12" s="43" t="s">
        <v>612</v>
      </c>
      <c r="F12" s="43" t="s">
        <v>613</v>
      </c>
      <c r="G12" s="34"/>
    </row>
    <row r="13" spans="1:7" ht="33.75">
      <c r="A13" s="370"/>
      <c r="B13" s="2">
        <v>1</v>
      </c>
      <c r="C13" s="37" t="s">
        <v>1088</v>
      </c>
      <c r="D13" s="39" t="s">
        <v>876</v>
      </c>
      <c r="E13" s="194" t="s">
        <v>853</v>
      </c>
      <c r="F13" s="194"/>
      <c r="G13" s="34"/>
    </row>
    <row r="14" spans="1:7" ht="33.75">
      <c r="A14" s="370"/>
      <c r="B14" s="2">
        <v>2</v>
      </c>
      <c r="C14" s="37" t="s">
        <v>1088</v>
      </c>
      <c r="D14" s="39" t="s">
        <v>1025</v>
      </c>
      <c r="E14" s="194" t="s">
        <v>530</v>
      </c>
      <c r="F14" s="194" t="s">
        <v>531</v>
      </c>
      <c r="G14" s="34"/>
    </row>
    <row r="15" spans="1:7" ht="89.1" customHeight="1">
      <c r="A15" s="370"/>
      <c r="B15" s="376">
        <v>2.0099999999999998</v>
      </c>
      <c r="C15" s="367" t="s">
        <v>1088</v>
      </c>
      <c r="D15" s="379" t="s">
        <v>2265</v>
      </c>
      <c r="E15" s="195" t="s">
        <v>614</v>
      </c>
      <c r="F15" s="195" t="s">
        <v>617</v>
      </c>
      <c r="G15" s="34"/>
    </row>
    <row r="16" spans="1:7" ht="99" customHeight="1">
      <c r="A16" s="370"/>
      <c r="B16" s="377"/>
      <c r="C16" s="368"/>
      <c r="D16" s="380"/>
      <c r="E16" s="196"/>
      <c r="F16" s="196" t="s">
        <v>615</v>
      </c>
      <c r="G16" s="34"/>
    </row>
    <row r="17" spans="1:7" ht="63" customHeight="1">
      <c r="A17" s="370"/>
      <c r="B17" s="378"/>
      <c r="C17" s="369"/>
      <c r="D17" s="381"/>
      <c r="E17" s="37"/>
      <c r="F17" s="37" t="s">
        <v>616</v>
      </c>
      <c r="G17" s="34"/>
    </row>
    <row r="18" spans="1:7" ht="117" customHeight="1">
      <c r="A18" s="370"/>
      <c r="B18" s="376">
        <v>2.02</v>
      </c>
      <c r="C18" s="367" t="s">
        <v>1088</v>
      </c>
      <c r="D18" s="379" t="s">
        <v>2266</v>
      </c>
      <c r="E18" s="195" t="s">
        <v>439</v>
      </c>
      <c r="F18" s="195" t="s">
        <v>525</v>
      </c>
      <c r="G18" s="34"/>
    </row>
    <row r="19" spans="1:7" ht="71.099999999999994" customHeight="1">
      <c r="A19" s="370"/>
      <c r="B19" s="377"/>
      <c r="C19" s="368"/>
      <c r="D19" s="380"/>
      <c r="E19" s="196" t="s">
        <v>529</v>
      </c>
      <c r="F19" s="196" t="s">
        <v>440</v>
      </c>
      <c r="G19" s="34"/>
    </row>
    <row r="20" spans="1:7" ht="90.75" customHeight="1">
      <c r="A20" s="370"/>
      <c r="B20" s="377"/>
      <c r="C20" s="368"/>
      <c r="D20" s="380"/>
      <c r="E20" s="196"/>
      <c r="F20" s="196" t="s">
        <v>619</v>
      </c>
      <c r="G20" s="34"/>
    </row>
    <row r="21" spans="1:7" ht="74.25" customHeight="1">
      <c r="A21" s="370"/>
      <c r="B21" s="378"/>
      <c r="C21" s="369"/>
      <c r="D21" s="381"/>
      <c r="E21" s="37"/>
      <c r="F21" s="37" t="s">
        <v>618</v>
      </c>
      <c r="G21" s="34"/>
    </row>
    <row r="22" spans="1:7" ht="90" customHeight="1">
      <c r="A22" s="370"/>
      <c r="B22" s="361">
        <v>2.0299999999999998</v>
      </c>
      <c r="C22" s="361" t="s">
        <v>822</v>
      </c>
      <c r="D22" s="364" t="s">
        <v>2267</v>
      </c>
      <c r="E22" s="367" t="s">
        <v>437</v>
      </c>
      <c r="F22" s="195" t="s">
        <v>460</v>
      </c>
      <c r="G22" s="34"/>
    </row>
    <row r="23" spans="1:7" ht="109.5" customHeight="1">
      <c r="A23" s="370"/>
      <c r="B23" s="362"/>
      <c r="C23" s="362"/>
      <c r="D23" s="365"/>
      <c r="E23" s="368"/>
      <c r="F23" s="196" t="s">
        <v>823</v>
      </c>
      <c r="G23" s="34"/>
    </row>
    <row r="24" spans="1:7" ht="74.25" customHeight="1">
      <c r="A24" s="370"/>
      <c r="B24" s="363"/>
      <c r="C24" s="363"/>
      <c r="D24" s="366"/>
      <c r="E24" s="369"/>
      <c r="F24" s="37" t="s">
        <v>436</v>
      </c>
      <c r="G24" s="34"/>
    </row>
    <row r="25" spans="1:7" ht="72" customHeight="1">
      <c r="A25" s="370"/>
      <c r="B25" s="2" t="s">
        <v>458</v>
      </c>
      <c r="C25" s="37" t="s">
        <v>459</v>
      </c>
      <c r="D25" s="39" t="s">
        <v>2268</v>
      </c>
      <c r="E25" s="37" t="s">
        <v>2263</v>
      </c>
      <c r="F25" s="37" t="s">
        <v>461</v>
      </c>
      <c r="G25" s="34"/>
    </row>
    <row r="26" spans="1:7" ht="98.1" customHeight="1">
      <c r="A26" s="370"/>
      <c r="B26" s="358">
        <v>3</v>
      </c>
      <c r="C26" s="376" t="s">
        <v>70</v>
      </c>
      <c r="D26" s="379" t="s">
        <v>2269</v>
      </c>
      <c r="E26" s="367" t="s">
        <v>0</v>
      </c>
      <c r="F26" s="195" t="s">
        <v>64</v>
      </c>
      <c r="G26" s="34"/>
    </row>
    <row r="27" spans="1:7" ht="90" customHeight="1">
      <c r="A27" s="370"/>
      <c r="B27" s="359"/>
      <c r="C27" s="377"/>
      <c r="D27" s="380"/>
      <c r="E27" s="368"/>
      <c r="F27" s="196" t="s">
        <v>59</v>
      </c>
      <c r="G27" s="34"/>
    </row>
    <row r="28" spans="1:7" ht="19.350000000000001" customHeight="1">
      <c r="A28" s="370"/>
      <c r="B28" s="359"/>
      <c r="C28" s="377"/>
      <c r="D28" s="380"/>
      <c r="E28" s="368"/>
      <c r="F28" s="196" t="s">
        <v>60</v>
      </c>
      <c r="G28" s="34"/>
    </row>
    <row r="29" spans="1:7" ht="74.45" customHeight="1">
      <c r="A29" s="370"/>
      <c r="B29" s="359"/>
      <c r="C29" s="377"/>
      <c r="D29" s="380"/>
      <c r="E29" s="368"/>
      <c r="F29" s="196" t="s">
        <v>61</v>
      </c>
      <c r="G29" s="34"/>
    </row>
    <row r="30" spans="1:7" ht="62.45" customHeight="1">
      <c r="A30" s="370"/>
      <c r="B30" s="359"/>
      <c r="C30" s="377"/>
      <c r="D30" s="380"/>
      <c r="E30" s="368"/>
      <c r="F30" s="196" t="s">
        <v>62</v>
      </c>
      <c r="G30" s="34"/>
    </row>
    <row r="31" spans="1:7" ht="81" customHeight="1">
      <c r="A31" s="370"/>
      <c r="B31" s="359"/>
      <c r="C31" s="377"/>
      <c r="D31" s="380"/>
      <c r="E31" s="368"/>
      <c r="F31" s="196" t="s">
        <v>63</v>
      </c>
      <c r="G31" s="34"/>
    </row>
    <row r="32" spans="1:7" ht="48.75" customHeight="1">
      <c r="A32" s="370"/>
      <c r="B32" s="359"/>
      <c r="C32" s="377"/>
      <c r="D32" s="380"/>
      <c r="E32" s="368"/>
      <c r="F32" s="196" t="s">
        <v>66</v>
      </c>
      <c r="G32" s="34"/>
    </row>
    <row r="33" spans="1:7" ht="98.45" customHeight="1">
      <c r="A33" s="370"/>
      <c r="B33" s="359"/>
      <c r="C33" s="377"/>
      <c r="D33" s="380"/>
      <c r="E33" s="368"/>
      <c r="F33" s="196" t="s">
        <v>65</v>
      </c>
      <c r="G33" s="34"/>
    </row>
    <row r="34" spans="1:7" ht="89.1" customHeight="1">
      <c r="A34" s="370"/>
      <c r="B34" s="359"/>
      <c r="C34" s="377"/>
      <c r="D34" s="380"/>
      <c r="E34" s="368"/>
      <c r="F34" s="196" t="s">
        <v>67</v>
      </c>
      <c r="G34" s="34"/>
    </row>
    <row r="35" spans="1:7" ht="29.1" customHeight="1">
      <c r="A35" s="370"/>
      <c r="B35" s="359"/>
      <c r="C35" s="377"/>
      <c r="D35" s="380"/>
      <c r="E35" s="368"/>
      <c r="F35" s="196" t="s">
        <v>68</v>
      </c>
      <c r="G35" s="34"/>
    </row>
    <row r="36" spans="1:7" ht="126.75">
      <c r="A36" s="370"/>
      <c r="B36" s="360"/>
      <c r="C36" s="378"/>
      <c r="D36" s="381"/>
      <c r="E36" s="369"/>
      <c r="F36" s="197" t="s">
        <v>69</v>
      </c>
      <c r="G36" s="34"/>
    </row>
    <row r="37" spans="1:7" ht="112.5">
      <c r="A37" s="370"/>
      <c r="B37" s="170">
        <v>3.01</v>
      </c>
      <c r="C37" s="171" t="s">
        <v>70</v>
      </c>
      <c r="D37" s="39" t="s">
        <v>2270</v>
      </c>
      <c r="E37" s="198" t="s">
        <v>1328</v>
      </c>
      <c r="F37" s="199" t="s">
        <v>1434</v>
      </c>
      <c r="G37" s="34"/>
    </row>
    <row r="38" spans="1:7" ht="101.25">
      <c r="A38" s="370"/>
      <c r="B38" s="170">
        <v>3.02</v>
      </c>
      <c r="C38" s="171" t="s">
        <v>1361</v>
      </c>
      <c r="D38" s="39" t="s">
        <v>2271</v>
      </c>
      <c r="E38" s="198" t="s">
        <v>1376</v>
      </c>
      <c r="F38" s="199" t="s">
        <v>1435</v>
      </c>
      <c r="G38" s="34"/>
    </row>
    <row r="39" spans="1:7" ht="101.25">
      <c r="A39" s="370"/>
      <c r="B39" s="180">
        <v>4</v>
      </c>
      <c r="C39" s="179" t="s">
        <v>1531</v>
      </c>
      <c r="D39" s="39" t="s">
        <v>2272</v>
      </c>
      <c r="E39" s="37" t="s">
        <v>2215</v>
      </c>
      <c r="F39" s="37" t="s">
        <v>1532</v>
      </c>
      <c r="G39" s="34"/>
    </row>
    <row r="40" spans="1:7" ht="56.25">
      <c r="A40" s="370"/>
      <c r="B40" s="170">
        <v>4.01</v>
      </c>
      <c r="C40" s="179" t="s">
        <v>1531</v>
      </c>
      <c r="D40" s="39" t="s">
        <v>2274</v>
      </c>
      <c r="E40" s="37" t="s">
        <v>2229</v>
      </c>
      <c r="F40" s="37" t="s">
        <v>2233</v>
      </c>
      <c r="G40" s="34"/>
    </row>
    <row r="41" spans="1:7" ht="56.25">
      <c r="A41" s="370"/>
      <c r="B41" s="170" t="s">
        <v>2261</v>
      </c>
      <c r="C41" s="179" t="s">
        <v>1531</v>
      </c>
      <c r="D41" s="39" t="s">
        <v>2273</v>
      </c>
      <c r="E41" s="37" t="s">
        <v>2264</v>
      </c>
      <c r="F41" s="37" t="s">
        <v>2262</v>
      </c>
      <c r="G41" s="34"/>
    </row>
    <row r="42" spans="1:7" ht="56.25">
      <c r="A42" s="370"/>
      <c r="B42" s="170" t="s">
        <v>2299</v>
      </c>
      <c r="C42" s="179" t="s">
        <v>1531</v>
      </c>
      <c r="D42" s="39" t="s">
        <v>2306</v>
      </c>
      <c r="E42" s="37" t="s">
        <v>2263</v>
      </c>
      <c r="F42" s="37" t="s">
        <v>2300</v>
      </c>
      <c r="G42" s="34"/>
    </row>
    <row r="43" spans="1:7" ht="123.75">
      <c r="A43" s="370"/>
      <c r="B43" s="191">
        <v>4.0999999999999996</v>
      </c>
      <c r="C43" s="179" t="s">
        <v>2305</v>
      </c>
      <c r="D43" s="192">
        <v>42867</v>
      </c>
      <c r="E43" s="200" t="s">
        <v>2308</v>
      </c>
      <c r="F43" s="37" t="s">
        <v>2307</v>
      </c>
      <c r="G43" s="34"/>
    </row>
    <row r="44" spans="1:7" ht="78.75">
      <c r="A44" s="370"/>
      <c r="B44" s="191">
        <v>4.2</v>
      </c>
      <c r="C44" s="179" t="s">
        <v>2305</v>
      </c>
      <c r="D44" s="192">
        <v>42704</v>
      </c>
      <c r="E44" s="200" t="s">
        <v>2510</v>
      </c>
      <c r="F44" s="37" t="s">
        <v>2485</v>
      </c>
      <c r="G44" s="34"/>
    </row>
    <row r="45" spans="1:7" ht="157.5">
      <c r="A45" s="370"/>
      <c r="B45" s="240">
        <v>5</v>
      </c>
      <c r="C45" s="179" t="s">
        <v>2305</v>
      </c>
      <c r="D45" s="192">
        <v>42867</v>
      </c>
      <c r="E45" s="200" t="s">
        <v>12917</v>
      </c>
      <c r="F45" s="37" t="s">
        <v>12639</v>
      </c>
      <c r="G45" s="34"/>
    </row>
    <row r="46" spans="1:7" ht="45">
      <c r="A46" s="370"/>
      <c r="B46" s="191">
        <v>5.01</v>
      </c>
      <c r="C46" s="179" t="s">
        <v>2305</v>
      </c>
      <c r="D46" s="192">
        <v>42907</v>
      </c>
      <c r="E46" s="200" t="s">
        <v>12935</v>
      </c>
      <c r="F46" s="37" t="s">
        <v>12639</v>
      </c>
      <c r="G46" s="34"/>
    </row>
    <row r="47" spans="1:7" ht="67.5">
      <c r="A47" s="370"/>
      <c r="B47" s="191">
        <v>5.0999999999999996</v>
      </c>
      <c r="C47" s="179" t="s">
        <v>2305</v>
      </c>
      <c r="D47" s="192">
        <v>43070</v>
      </c>
      <c r="E47" s="200" t="s">
        <v>13129</v>
      </c>
      <c r="F47" s="37" t="s">
        <v>13130</v>
      </c>
      <c r="G47" s="34"/>
    </row>
    <row r="48" spans="1:7" ht="56.25">
      <c r="A48" s="370"/>
      <c r="B48" s="191">
        <v>5.1100000000000003</v>
      </c>
      <c r="C48" s="179" t="s">
        <v>13371</v>
      </c>
      <c r="D48" s="192">
        <v>43217</v>
      </c>
      <c r="E48" s="200" t="s">
        <v>13499</v>
      </c>
      <c r="F48" s="37" t="s">
        <v>13405</v>
      </c>
      <c r="G48" s="34"/>
    </row>
    <row r="49" spans="1:7" ht="56.25">
      <c r="A49" s="370"/>
      <c r="B49" s="191">
        <v>5.12</v>
      </c>
      <c r="C49" s="179" t="s">
        <v>13371</v>
      </c>
      <c r="D49" s="192">
        <v>43581</v>
      </c>
      <c r="E49" s="200" t="s">
        <v>13499</v>
      </c>
      <c r="F49" s="37" t="s">
        <v>14064</v>
      </c>
      <c r="G49" s="34"/>
    </row>
    <row r="50" spans="1:7" ht="78.75">
      <c r="A50" s="370"/>
      <c r="B50" s="240">
        <v>6</v>
      </c>
      <c r="C50" s="179" t="s">
        <v>13371</v>
      </c>
      <c r="D50" s="192">
        <v>43964</v>
      </c>
      <c r="E50" s="200" t="s">
        <v>14291</v>
      </c>
      <c r="F50" s="37" t="s">
        <v>14074</v>
      </c>
      <c r="G50" s="34"/>
    </row>
    <row r="51" spans="1:7" ht="45">
      <c r="A51" s="370"/>
      <c r="B51" s="191">
        <v>6.01</v>
      </c>
      <c r="C51" s="179" t="s">
        <v>13371</v>
      </c>
      <c r="D51" s="192">
        <v>43970</v>
      </c>
      <c r="E51" s="200" t="s">
        <v>15309</v>
      </c>
      <c r="F51" s="200" t="s">
        <v>14074</v>
      </c>
      <c r="G51" s="34"/>
    </row>
    <row r="52" spans="1:7" ht="45">
      <c r="A52" s="370"/>
      <c r="B52" s="191">
        <v>6.1</v>
      </c>
      <c r="C52" s="179" t="s">
        <v>13371</v>
      </c>
      <c r="D52" s="192">
        <v>44314</v>
      </c>
      <c r="E52" s="200" t="s">
        <v>15314</v>
      </c>
      <c r="F52" s="200" t="s">
        <v>15319</v>
      </c>
      <c r="G52" s="34"/>
    </row>
    <row r="53" spans="1:7" ht="13.5" thickBot="1">
      <c r="A53" s="371"/>
      <c r="B53" s="372" t="str">
        <f ca="1">OFFSET(L!$C$1,MATCH("General"&amp;"Cpy",L!$A:$A,0)-1,SL,,)</f>
        <v>© 2021 Responsible Minerals Initiative. All rights reserved.</v>
      </c>
      <c r="C53" s="372"/>
      <c r="D53" s="372"/>
      <c r="E53" s="372"/>
      <c r="F53" s="372"/>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442F88-92B3-4F5A-AB4F-47336BD9153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6A19291-02F5-4657-8E03-BD46DD1DAA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6" t="str">
        <f ca="1">OFFSET(L!$C$1,MATCH("Definitions"&amp;ADDRESS(ROW(),COLUMN(),4),L!$A:$A,0)-1,SL,,)</f>
        <v>ITEM</v>
      </c>
      <c r="C2" s="166"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1313</v>
      </c>
    </row>
    <row r="10" spans="1:5" ht="45">
      <c r="A10" s="87"/>
      <c r="B10" s="74" t="str">
        <f ca="1">OFFSET(L!$C$1,MATCH("Definitions"&amp;ADDRESS(ROW(),COLUMN(),4),L!$A:$A,0)-1,SL,,)</f>
        <v>DRC</v>
      </c>
      <c r="C10" s="74" t="str">
        <f ca="1">OFFSET(L!$C$1,MATCH("Definitions"&amp;ADDRESS(ROW(),COLUMN(),4),L!$A:$A,0)-1,SL,,)</f>
        <v>Democratic Republic of Congo</v>
      </c>
      <c r="D10" s="386"/>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2021 Responsible Minerals Initiative. All rights reserved.</v>
      </c>
      <c r="C32" s="385"/>
      <c r="D32" s="386"/>
      <c r="E32" s="128"/>
    </row>
    <row r="33" spans="1:4" ht="13.5" thickBot="1">
      <c r="A33" s="88"/>
      <c r="B33" s="183"/>
      <c r="C33" s="183"/>
      <c r="D33" s="387"/>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2"/>
      <c r="G3" s="432"/>
      <c r="H3" s="432"/>
      <c r="I3" s="182"/>
      <c r="J3" s="167" t="s">
        <v>15318</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15607</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494</v>
      </c>
      <c r="E9" s="435"/>
      <c r="F9" s="435"/>
      <c r="G9" s="43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8" t="str">
        <f ca="1">OFFSET(L!$C$1,MATCH("Declaration"&amp;ADDRESS(ROW(),COLUMN(),4)&amp;LEFT($D$9,1),L!$A:$A,0)-1,SL,,)</f>
        <v>Description of Scope:</v>
      </c>
      <c r="C10" s="151"/>
      <c r="D10" s="429"/>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03" t="str">
        <f ca="1">IF(D9=Q9,OFFSET(L!$C$1,MATCH("Declaration"&amp;ADDRESS(ROW(),COLUMN(),4),L!$A:$A,0)-1,SL,,),"")</f>
        <v/>
      </c>
      <c r="E11" s="404"/>
      <c r="F11" s="404"/>
      <c r="G11" s="404"/>
      <c r="H11" s="404"/>
      <c r="I11" s="404"/>
      <c r="J11" s="40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15608</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15611</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15609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2" t="s">
        <v>15608</v>
      </c>
      <c r="E18" s="413"/>
      <c r="F18" s="413"/>
      <c r="G18" s="413"/>
      <c r="H18" s="413"/>
      <c r="I18" s="413"/>
      <c r="J18" s="41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15610</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3"/>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6">
        <v>44396</v>
      </c>
      <c r="E22" s="44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6"/>
      <c r="E32" s="407"/>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489</v>
      </c>
      <c r="E39" s="389"/>
      <c r="F39" s="58"/>
      <c r="G39" s="390"/>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489</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8" t="str">
        <f ca="1">D25</f>
        <v>Answer</v>
      </c>
      <c r="E43" s="40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489</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489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8" t="str">
        <f ca="1">D25</f>
        <v>Answer</v>
      </c>
      <c r="E55" s="40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v>1</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v>1</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8" t="str">
        <f ca="1">D25</f>
        <v>Answer</v>
      </c>
      <c r="E61" s="408"/>
      <c r="F61" s="21"/>
      <c r="G61" s="55" t="str">
        <f ca="1">G25</f>
        <v>Comments</v>
      </c>
      <c r="H61" s="401"/>
      <c r="I61" s="401"/>
      <c r="J61" s="40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6"/>
      <c r="E62" s="407"/>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8" t="str">
        <f ca="1">D25</f>
        <v>Answer</v>
      </c>
      <c r="E67" s="408"/>
      <c r="F67" s="21"/>
      <c r="G67" s="55" t="str">
        <f ca="1">G25</f>
        <v>Comments</v>
      </c>
      <c r="H67" s="401" t="str">
        <f>IF(Q75="(*)","Click here to enter smelter names","")</f>
        <v/>
      </c>
      <c r="I67" s="401"/>
      <c r="J67" s="40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9"/>
      <c r="H76" s="399"/>
      <c r="I76" s="399"/>
      <c r="J76" s="39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489</v>
      </c>
      <c r="E77" s="389"/>
      <c r="F77" s="68"/>
      <c r="G77" s="416"/>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489</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15250</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7" t="s">
        <v>488</v>
      </c>
      <c r="E85" s="398"/>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9"/>
      <c r="H86" s="399"/>
      <c r="I86" s="399"/>
      <c r="J86" s="39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0"/>
      <c r="H88" s="400"/>
      <c r="I88" s="400"/>
      <c r="J88" s="40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489</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6" t="str">
        <f>IF(OR($D$8="",$I$3=""),"","Click here to check required fields completion")</f>
        <v/>
      </c>
      <c r="C90" s="396"/>
      <c r="D90" s="396"/>
      <c r="E90" s="396"/>
      <c r="F90" s="396"/>
      <c r="G90" s="396"/>
      <c r="H90" s="396"/>
      <c r="I90" s="396"/>
      <c r="J90" s="39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4" t="str">
        <f ca="1">OFFSET(L!$C$1,MATCH("General"&amp;"Cpy",L!$A:$A,0)-1,SL,,)</f>
        <v>© 2021 Responsible Minerals Initiative. All rights reserved.</v>
      </c>
      <c r="B91" s="395"/>
      <c r="C91" s="395"/>
      <c r="D91" s="395"/>
      <c r="E91" s="395"/>
      <c r="F91" s="395"/>
      <c r="G91" s="395"/>
      <c r="H91" s="395"/>
      <c r="I91" s="395"/>
      <c r="J91" s="39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5" priority="63" stopIfTrue="1">
      <formula>AND(OR($D$26="No",AND($D$26="Yes",$D$32="No")),OR($D$27="No",AND($D$27="Yes",$D$33="No")),OR($D$28="No",AND($D$28="Yes",$D$34="No")),OR($D$29="No",AND($D$29="Yes",$D$35="No")))</formula>
    </cfRule>
    <cfRule type="expression" dxfId="114" priority="64" stopIfTrue="1">
      <formula>IF(D75="",TRUE)</formula>
    </cfRule>
  </conditionalFormatting>
  <conditionalFormatting sqref="G77:J77">
    <cfRule type="expression" dxfId="113" priority="35" stopIfTrue="1">
      <formula>IF(AND($D$77="Yes",$G$77=""),TRUE)</formula>
    </cfRule>
  </conditionalFormatting>
  <conditionalFormatting sqref="D26:E26">
    <cfRule type="expression" dxfId="112" priority="115" stopIfTrue="1">
      <formula>IF($D$26="",TRUE)</formula>
    </cfRule>
  </conditionalFormatting>
  <conditionalFormatting sqref="D27:E27">
    <cfRule type="expression" dxfId="111" priority="122" stopIfTrue="1">
      <formula>IF($D$27="",TRUE)</formula>
    </cfRule>
  </conditionalFormatting>
  <conditionalFormatting sqref="D28:E28">
    <cfRule type="expression" dxfId="110" priority="123" stopIfTrue="1">
      <formula>IF($D$28="",TRUE)</formula>
    </cfRule>
  </conditionalFormatting>
  <conditionalFormatting sqref="D29:E29">
    <cfRule type="expression" dxfId="109" priority="124" stopIfTrue="1">
      <formula>IF($D$29="",TRUE)</formula>
    </cfRule>
  </conditionalFormatting>
  <conditionalFormatting sqref="D8:J8">
    <cfRule type="expression" dxfId="108" priority="129" stopIfTrue="1">
      <formula>IF($D$8="",TRUE)</formula>
    </cfRule>
  </conditionalFormatting>
  <conditionalFormatting sqref="D9:G9">
    <cfRule type="expression" dxfId="107" priority="130" stopIfTrue="1">
      <formula>IF($D$9="",TRUE)</formula>
    </cfRule>
  </conditionalFormatting>
  <conditionalFormatting sqref="D15:J15">
    <cfRule type="expression" dxfId="106" priority="131" stopIfTrue="1">
      <formula>IF($D$15="",TRUE)</formula>
    </cfRule>
  </conditionalFormatting>
  <conditionalFormatting sqref="D16:J16">
    <cfRule type="expression" dxfId="105" priority="132" stopIfTrue="1">
      <formula>IF($D$16="",TRUE)</formula>
    </cfRule>
  </conditionalFormatting>
  <conditionalFormatting sqref="D17:J17">
    <cfRule type="expression" dxfId="104" priority="133" stopIfTrue="1">
      <formula>IF($D$17="",TRUE)</formula>
    </cfRule>
  </conditionalFormatting>
  <conditionalFormatting sqref="D18:J18">
    <cfRule type="expression" dxfId="103" priority="134" stopIfTrue="1">
      <formula>IF($D$18="",TRUE)</formula>
    </cfRule>
  </conditionalFormatting>
  <conditionalFormatting sqref="D22:E22">
    <cfRule type="expression" dxfId="102" priority="137" stopIfTrue="1">
      <formula>IF($D$22="",TRUE)</formula>
    </cfRule>
  </conditionalFormatting>
  <conditionalFormatting sqref="D10:J10">
    <cfRule type="expression" dxfId="101" priority="34" stopIfTrue="1">
      <formula>IF($D$9=$Q$9,TRUE)</formula>
    </cfRule>
    <cfRule type="expression" dxfId="100" priority="144" stopIfTrue="1">
      <formula>IF(AND($D$10="",$D$9=$R$9),TRUE)</formula>
    </cfRule>
  </conditionalFormatting>
  <conditionalFormatting sqref="D34:E34 D40:E40 D52:E52 D58:E58 D64:E64 D70:E70">
    <cfRule type="expression" dxfId="99" priority="27" stopIfTrue="1">
      <formula>$P$28=""</formula>
    </cfRule>
  </conditionalFormatting>
  <conditionalFormatting sqref="D35:E35 D41:E41 D53:E53 D59:E59 D65:E65 D71:E71">
    <cfRule type="expression" dxfId="98" priority="142" stopIfTrue="1">
      <formula>$P$29=""</formula>
    </cfRule>
  </conditionalFormatting>
  <conditionalFormatting sqref="D32:E32">
    <cfRule type="expression" dxfId="97" priority="120" stopIfTrue="1">
      <formula>$P$26=""</formula>
    </cfRule>
  </conditionalFormatting>
  <conditionalFormatting sqref="D32:E32">
    <cfRule type="expression" dxfId="96" priority="33" stopIfTrue="1">
      <formula>IF(AND(OR($D$26="Yes",$D$26=""),$D$32=""),1,0)</formula>
    </cfRule>
  </conditionalFormatting>
  <conditionalFormatting sqref="D38 D50 D56 D62 D68">
    <cfRule type="expression" dxfId="95" priority="29" stopIfTrue="1">
      <formula>$P$32=""</formula>
    </cfRule>
  </conditionalFormatting>
  <conditionalFormatting sqref="D39:E39 D51 D57 D63 D69">
    <cfRule type="expression" dxfId="94" priority="28" stopIfTrue="1">
      <formula>$P$33=""</formula>
    </cfRule>
  </conditionalFormatting>
  <conditionalFormatting sqref="D40 D52 D58 D64 D70">
    <cfRule type="expression" dxfId="93" priority="18" stopIfTrue="1">
      <formula>$P$34=""</formula>
    </cfRule>
    <cfRule type="expression" dxfId="92" priority="140" stopIfTrue="1">
      <formula>IF(AND(OR($D$28="Yes",$D$28=""),D40=""),1,0)</formula>
    </cfRule>
  </conditionalFormatting>
  <conditionalFormatting sqref="D41 D53 D59 D65 D71">
    <cfRule type="expression" dxfId="91" priority="26" stopIfTrue="1">
      <formula>$P$35=""</formula>
    </cfRule>
  </conditionalFormatting>
  <conditionalFormatting sqref="D38:E38 D50:E50 D56:E56 D62:E62 D68:E68">
    <cfRule type="expression" dxfId="90" priority="31" stopIfTrue="1">
      <formula>$P$26=""</formula>
    </cfRule>
    <cfRule type="expression" dxfId="89" priority="32" stopIfTrue="1">
      <formula>IF(AND(OR($D$26="Yes",$D$26=""),D38=""),1,0)</formula>
    </cfRule>
  </conditionalFormatting>
  <conditionalFormatting sqref="G85:J85">
    <cfRule type="expression" dxfId="88" priority="25" stopIfTrue="1">
      <formula>IF(AND($D$85="Yes, using other format (describe)",$G$85=""),TRUE)</formula>
    </cfRule>
  </conditionalFormatting>
  <conditionalFormatting sqref="D39:E39 D51:E51 D57:E57 D63:E63 D69:E69">
    <cfRule type="expression" dxfId="87" priority="138" stopIfTrue="1">
      <formula>$P$39=""</formula>
    </cfRule>
    <cfRule type="expression" dxfId="86" priority="139" stopIfTrue="1">
      <formula>IF(AND(OR($D$27="Yes",$D$27=""),D39=""),1,0)</formula>
    </cfRule>
  </conditionalFormatting>
  <conditionalFormatting sqref="D33:E33">
    <cfRule type="expression" dxfId="85" priority="20" stopIfTrue="1">
      <formula>IF(AND(OR($D$27="Yes",$D$27=""),$D$33=""),1,0)</formula>
    </cfRule>
    <cfRule type="expression" dxfId="84" priority="21" stopIfTrue="1">
      <formula>$P$27=""</formula>
    </cfRule>
  </conditionalFormatting>
  <conditionalFormatting sqref="D34:E34">
    <cfRule type="expression" dxfId="83" priority="141" stopIfTrue="1">
      <formula>IF(AND(OR($D$28="Yes",$D$28=""),$D$34=""),1,0)</formula>
    </cfRule>
  </conditionalFormatting>
  <conditionalFormatting sqref="D41:E41 D53:E53 D59:E59 D65:E65 D71:E71">
    <cfRule type="expression" dxfId="82" priority="143" stopIfTrue="1">
      <formula>IF(AND(OR($D$29="Yes",$D$29=""),D41=""),1,0)</formula>
    </cfRule>
  </conditionalFormatting>
  <conditionalFormatting sqref="D35:E35">
    <cfRule type="expression" dxfId="81" priority="17" stopIfTrue="1">
      <formula>IF(AND(OR($D$29="Yes",$D$29=""),$D$35=""),1,0)</formula>
    </cfRule>
  </conditionalFormatting>
  <conditionalFormatting sqref="D20:J20">
    <cfRule type="expression" dxfId="80" priority="13" stopIfTrue="1">
      <formula>IF($D$20="",TRUE)</formula>
    </cfRule>
  </conditionalFormatting>
  <conditionalFormatting sqref="D46:E46">
    <cfRule type="expression" dxfId="79" priority="3" stopIfTrue="1">
      <formula>$P$28=""</formula>
    </cfRule>
  </conditionalFormatting>
  <conditionalFormatting sqref="D47:E47">
    <cfRule type="expression" dxfId="78" priority="11" stopIfTrue="1">
      <formula>$P$29=""</formula>
    </cfRule>
  </conditionalFormatting>
  <conditionalFormatting sqref="D44">
    <cfRule type="expression" dxfId="77" priority="5" stopIfTrue="1">
      <formula>$P$32=""</formula>
    </cfRule>
  </conditionalFormatting>
  <conditionalFormatting sqref="D45">
    <cfRule type="expression" dxfId="76" priority="4" stopIfTrue="1">
      <formula>$P$33=""</formula>
    </cfRule>
  </conditionalFormatting>
  <conditionalFormatting sqref="D46">
    <cfRule type="expression" dxfId="75" priority="1" stopIfTrue="1">
      <formula>$P$34=""</formula>
    </cfRule>
    <cfRule type="expression" dxfId="74" priority="10" stopIfTrue="1">
      <formula>IF(AND(OR($D$28="Yes",$D$28=""),D46=""),1,0)</formula>
    </cfRule>
  </conditionalFormatting>
  <conditionalFormatting sqref="D47">
    <cfRule type="expression" dxfId="73" priority="2" stopIfTrue="1">
      <formula>$P$35=""</formula>
    </cfRule>
  </conditionalFormatting>
  <conditionalFormatting sqref="D44:E44">
    <cfRule type="expression" dxfId="72" priority="6" stopIfTrue="1">
      <formula>$P$26=""</formula>
    </cfRule>
    <cfRule type="expression" dxfId="71" priority="7" stopIfTrue="1">
      <formula>IF(AND(OR($D$26="Yes",$D$26=""),D44=""),1,0)</formula>
    </cfRule>
  </conditionalFormatting>
  <conditionalFormatting sqref="D45:E45">
    <cfRule type="expression" dxfId="70" priority="8" stopIfTrue="1">
      <formula>$P$39=""</formula>
    </cfRule>
    <cfRule type="expression" dxfId="69" priority="9" stopIfTrue="1">
      <formula>IF(AND(OR($D$27="Yes",$D$27=""),D45=""),1,0)</formula>
    </cfRule>
  </conditionalFormatting>
  <conditionalFormatting sqref="D47:E47">
    <cfRule type="expression" dxfId="6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02FDD72-1193-441A-96E0-1D867CAB14D0}"/>
    <hyperlink ref="D20" r:id="rId4" xr:uid="{7C7FA960-0B58-415D-A367-7E0F318569B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12" sqref="C12"/>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2"/>
      <c r="V2" s="262"/>
      <c r="W2" s="263"/>
      <c r="X2" s="262"/>
      <c r="Y2" s="262"/>
      <c r="Z2" s="262"/>
      <c r="AH2" s="174" t="s">
        <v>488</v>
      </c>
    </row>
    <row r="3" spans="1:34" s="264" customFormat="1" ht="273.9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5"/>
      <c r="G3" s="452" t="str">
        <f ca="1">OFFSET(L!$C$1,MATCH("General"&amp;"Cpy",L!$A:$A,0)-1,SL,,)</f>
        <v>© 2021 Responsible Minerals Initiative. All rights reserved.</v>
      </c>
      <c r="H3" s="452"/>
      <c r="I3" s="45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4.75" customHeight="1">
      <c r="A5" s="214" t="s">
        <v>708</v>
      </c>
      <c r="B5" s="215" t="s">
        <v>1130</v>
      </c>
      <c r="C5" s="354" t="s">
        <v>1229</v>
      </c>
      <c r="D5" s="215"/>
      <c r="E5" s="215" t="s">
        <v>2463</v>
      </c>
      <c r="F5" s="215" t="s">
        <v>708</v>
      </c>
      <c r="G5" s="215" t="s">
        <v>13459</v>
      </c>
      <c r="H5" s="355">
        <v>0</v>
      </c>
      <c r="I5" s="356" t="s">
        <v>1631</v>
      </c>
      <c r="J5" s="356" t="s">
        <v>1632</v>
      </c>
      <c r="K5" s="357" t="s">
        <v>15606</v>
      </c>
      <c r="L5" s="268"/>
      <c r="M5" s="268"/>
      <c r="N5" s="268"/>
      <c r="O5" s="268"/>
      <c r="P5" s="218"/>
      <c r="Q5" s="269"/>
      <c r="R5" s="215" t="str">
        <f ca="1">IF(ISERROR($V5),"",OFFSET('Smelter Look-up'!$C$4,$V5-4,0)&amp;"")</f>
        <v>Metalor USA Refining Corporation</v>
      </c>
      <c r="S5" s="222" t="str">
        <f t="shared" ref="S5" ca="1" si="0">IF(B5="","",IF(ISERROR(MATCH($E5,CL,0)),"Unknown",INDIRECT("'C'!$A$"&amp;MATCH($E5,CL,0)+1)))</f>
        <v>US</v>
      </c>
      <c r="T5" s="222" t="str">
        <f ca="1">IF(B5="","",IF(ISERROR(MATCH($J5,SorP!$B$1:$B$6230,0)),"",INDIRECT("'SorP'!$A$"&amp;MATCH($J5,SorP!$B$1:$B$6230,0))))</f>
        <v>US-MA</v>
      </c>
      <c r="U5" s="238"/>
      <c r="V5" s="270">
        <f>IF(C5="",NA(),MATCH($B5&amp;$C5,'Smelter Look-up'!$J:$J,0))</f>
        <v>172</v>
      </c>
      <c r="W5" s="271"/>
      <c r="X5" s="271">
        <f t="shared" ref="X5" si="1">IF(AND(C5="Smelter not listed",OR(LEN(D5)=0,LEN(E5)=0)),1,0)</f>
        <v>0</v>
      </c>
      <c r="Y5" s="271"/>
      <c r="Z5" s="271"/>
      <c r="AB5" s="273" t="str">
        <f t="shared" ref="AB5" si="2">B5&amp;C5</f>
        <v>GoldMetalor USA Refining Corporation</v>
      </c>
    </row>
    <row r="6" spans="1:34" s="272" customFormat="1" ht="23.25" customHeight="1">
      <c r="A6" s="214" t="s">
        <v>804</v>
      </c>
      <c r="B6" s="215" t="s">
        <v>1131</v>
      </c>
      <c r="C6" s="354" t="s">
        <v>14026</v>
      </c>
      <c r="D6" s="215"/>
      <c r="E6" s="215" t="s">
        <v>1105</v>
      </c>
      <c r="F6" s="215" t="s">
        <v>804</v>
      </c>
      <c r="G6" s="215" t="s">
        <v>13459</v>
      </c>
      <c r="H6" s="355">
        <v>0</v>
      </c>
      <c r="I6" s="356" t="s">
        <v>1806</v>
      </c>
      <c r="J6" s="356" t="s">
        <v>6135</v>
      </c>
      <c r="K6" s="357"/>
      <c r="L6" s="268"/>
      <c r="M6" s="268"/>
      <c r="N6" s="268"/>
      <c r="O6" s="268"/>
      <c r="P6" s="218"/>
      <c r="Q6" s="269"/>
      <c r="R6" s="215" t="str">
        <f ca="1">IF(ISERROR($V6),"",OFFSET('Smelter Look-up'!$C$4,$V6-4,0)&amp;"")</f>
        <v>PT Timah Tbk Kundur</v>
      </c>
      <c r="S6" s="222" t="str">
        <f t="shared" ref="S6:S37" ca="1" si="3">IF(B6="","",IF(ISERROR(MATCH($E6,CL,0)),"Unknown",INDIRECT("'C'!$A$"&amp;MATCH($E6,CL,0)+1)))</f>
        <v>ID</v>
      </c>
      <c r="T6" s="222" t="str">
        <f ca="1">IF(B6="","",IF(ISERROR(MATCH($J6,SorP!$B$1:$B$6230,0)),"",INDIRECT("'SorP'!$A$"&amp;MATCH($J6,SorP!$B$1:$B$6230,0))))</f>
        <v>ID-RI</v>
      </c>
      <c r="U6" s="238"/>
      <c r="V6" s="270">
        <f>IF(C6="",NA(),MATCH($B6&amp;$C6,'Smelter Look-up'!$J:$J,0))</f>
        <v>491</v>
      </c>
      <c r="W6" s="271"/>
      <c r="X6" s="271">
        <f t="shared" ref="X6:X37" si="4">IF(AND(C6="Smelter not listed",OR(LEN(D6)=0,LEN(E6)=0)),1,0)</f>
        <v>0</v>
      </c>
      <c r="Y6" s="271"/>
      <c r="Z6" s="271"/>
      <c r="AB6" s="273" t="str">
        <f t="shared" ref="AB6:AB37" si="5">B6&amp;C6</f>
        <v>TinPT Timah Tbk Kundur</v>
      </c>
    </row>
    <row r="7" spans="1:34" s="272" customFormat="1" ht="23.25" customHeight="1">
      <c r="A7" s="214" t="s">
        <v>767</v>
      </c>
      <c r="B7" s="215" t="s">
        <v>1131</v>
      </c>
      <c r="C7" s="354" t="s">
        <v>842</v>
      </c>
      <c r="D7" s="215"/>
      <c r="E7" s="215" t="s">
        <v>2461</v>
      </c>
      <c r="F7" s="215" t="s">
        <v>767</v>
      </c>
      <c r="G7" s="215" t="s">
        <v>13459</v>
      </c>
      <c r="H7" s="355">
        <v>0</v>
      </c>
      <c r="I7" s="356" t="s">
        <v>1782</v>
      </c>
      <c r="J7" s="356" t="s">
        <v>1782</v>
      </c>
      <c r="K7" s="357"/>
      <c r="L7" s="268"/>
      <c r="M7" s="268"/>
      <c r="N7" s="268"/>
      <c r="O7" s="268"/>
      <c r="P7" s="218"/>
      <c r="Q7" s="269"/>
      <c r="R7" s="215" t="str">
        <f ca="1">IF(ISERROR($V7),"",OFFSET('Smelter Look-up'!$C$4,$V7-4,0)&amp;"")</f>
        <v>EM Vinto</v>
      </c>
      <c r="S7" s="222" t="str">
        <f t="shared" ca="1" si="3"/>
        <v>BO</v>
      </c>
      <c r="T7" s="222" t="str">
        <f ca="1">IF(B7="","",IF(ISERROR(MATCH($J7,SorP!$B$1:$B$6230,0)),"",INDIRECT("'SorP'!$A$"&amp;MATCH($J7,SorP!$B$1:$B$6230,0))))</f>
        <v>BO-O</v>
      </c>
      <c r="U7" s="238"/>
      <c r="V7" s="270">
        <f>IF(C7="",NA(),MATCH($B7&amp;$C7,'Smelter Look-up'!$J:$J,0))</f>
        <v>412</v>
      </c>
      <c r="W7" s="271"/>
      <c r="X7" s="271">
        <f t="shared" si="4"/>
        <v>0</v>
      </c>
      <c r="Y7" s="271"/>
      <c r="Z7" s="271"/>
      <c r="AB7" s="273" t="str">
        <f t="shared" si="5"/>
        <v>TinEM Vinto</v>
      </c>
    </row>
    <row r="8" spans="1:34" s="272" customFormat="1" ht="20.100000000000001" customHeight="1">
      <c r="A8" s="214" t="s">
        <v>776</v>
      </c>
      <c r="B8" s="215" t="s">
        <v>1131</v>
      </c>
      <c r="C8" s="354" t="s">
        <v>1034</v>
      </c>
      <c r="D8" s="215"/>
      <c r="E8" s="215" t="s">
        <v>880</v>
      </c>
      <c r="F8" s="215" t="s">
        <v>776</v>
      </c>
      <c r="G8" s="215" t="s">
        <v>13459</v>
      </c>
      <c r="H8" s="355">
        <v>0</v>
      </c>
      <c r="I8" s="356" t="s">
        <v>1799</v>
      </c>
      <c r="J8" s="356" t="s">
        <v>9323</v>
      </c>
      <c r="K8" s="357"/>
      <c r="L8" s="268"/>
      <c r="M8" s="268"/>
      <c r="N8" s="268"/>
      <c r="O8" s="268"/>
      <c r="P8" s="218"/>
      <c r="Q8" s="269"/>
      <c r="R8" s="215" t="str">
        <f ca="1">IF(ISERROR($V8),"",OFFSET('Smelter Look-up'!$C$4,$V8-4,0)&amp;"")</f>
        <v>Minsur</v>
      </c>
      <c r="S8" s="222" t="str">
        <f t="shared" ca="1" si="3"/>
        <v>PE</v>
      </c>
      <c r="T8" s="222" t="str">
        <f ca="1">IF(B8="","",IF(ISERROR(MATCH($J8,SorP!$B$1:$B$6230,0)),"",INDIRECT("'SorP'!$A$"&amp;MATCH($J8,SorP!$B$1:$B$6230,0))))</f>
        <v>PE-ICA</v>
      </c>
      <c r="U8" s="238"/>
      <c r="V8" s="270">
        <f>IF(C8="",NA(),MATCH($B8&amp;$C8,'Smelter Look-up'!$J:$J,0))</f>
        <v>460</v>
      </c>
      <c r="W8" s="271"/>
      <c r="X8" s="271">
        <f t="shared" si="4"/>
        <v>0</v>
      </c>
      <c r="Y8" s="271"/>
      <c r="Z8" s="271"/>
      <c r="AB8" s="273" t="str">
        <f t="shared" si="5"/>
        <v>TinMinsur</v>
      </c>
    </row>
    <row r="9" spans="1:34" s="272" customFormat="1" ht="20.100000000000001" customHeight="1">
      <c r="A9" s="324" t="s">
        <v>724</v>
      </c>
      <c r="B9" s="215" t="s">
        <v>1130</v>
      </c>
      <c r="C9" s="219" t="s">
        <v>913</v>
      </c>
      <c r="D9" s="278"/>
      <c r="E9" s="215" t="str">
        <f ca="1">IF(ISERROR($V9),"",OFFSET('Smelter Look-up'!$D$4,$V9-4,0)&amp;"")</f>
        <v>CANADA</v>
      </c>
      <c r="F9" s="215" t="str">
        <f ca="1">IF(ISERROR($V9),"",OFFSET('Smelter Look-up'!$E$4,$V9-4,0))</f>
        <v>CID001534</v>
      </c>
      <c r="G9" s="215" t="str">
        <f ca="1">IF(C9=$X$4,"Enter smelter details",IF(ISERROR($V9),"",OFFSET('Smelter Look-up'!$F$4,$V9-4,0)))</f>
        <v>RMI</v>
      </c>
      <c r="H9" s="216">
        <f ca="1">IF(ISERROR($V9),"",OFFSET('Smelter Look-up'!$G$4,$V9-4,0))</f>
        <v>0</v>
      </c>
      <c r="I9" s="217" t="str">
        <f ca="1">IF(ISERROR($V9),"",OFFSET('Smelter Look-up'!$H$4,$V9-4,0))</f>
        <v>Ottawa</v>
      </c>
      <c r="J9" s="217" t="str">
        <f ca="1">IF(ISERROR($V9),"",OFFSET('Smelter Look-up'!$I$4,$V9-4,0))</f>
        <v>Ontario</v>
      </c>
      <c r="K9" s="268"/>
      <c r="L9" s="268"/>
      <c r="M9" s="268"/>
      <c r="N9" s="268"/>
      <c r="O9" s="268"/>
      <c r="P9" s="218"/>
      <c r="Q9" s="269"/>
      <c r="R9" s="215" t="str">
        <f ca="1">IF(ISERROR($V9),"",OFFSET('Smelter Look-up'!$C$4,$V9-4,0)&amp;"")</f>
        <v>Royal Canadian Mint</v>
      </c>
      <c r="S9" s="222" t="str">
        <f t="shared" ca="1" si="3"/>
        <v>CA</v>
      </c>
      <c r="T9" s="222" t="str">
        <f ca="1">IF(B9="","",IF(ISERROR(MATCH($J9,SorP!$B$1:$B$6230,0)),"",INDIRECT("'SorP'!$A$"&amp;MATCH($J9,SorP!$B$1:$B$6230,0))))</f>
        <v>CA-ON</v>
      </c>
      <c r="U9" s="238"/>
      <c r="V9" s="270">
        <f>IF(C9="",NA(),MATCH($B9&amp;$C9,'Smelter Look-up'!$J:$J,0))</f>
        <v>215</v>
      </c>
      <c r="W9" s="271"/>
      <c r="X9" s="271">
        <f t="shared" ca="1" si="4"/>
        <v>0</v>
      </c>
      <c r="Y9" s="271"/>
      <c r="Z9" s="271"/>
      <c r="AB9" s="273" t="str">
        <f t="shared" si="5"/>
        <v>GoldRoyal Canadian Mint</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B8D9801-4953-4398-A7A2-42EE496F29C3}"/>
    </customSheetView>
  </customSheetViews>
  <mergeCells count="3">
    <mergeCell ref="J2:O2"/>
    <mergeCell ref="B3:E3"/>
    <mergeCell ref="G3:I3"/>
  </mergeCells>
  <conditionalFormatting sqref="B586:B2504">
    <cfRule type="expression" dxfId="67" priority="48" stopIfTrue="1">
      <formula>IF(B586="",TRUE)</formula>
    </cfRule>
    <cfRule type="expression" dxfId="66" priority="59" stopIfTrue="1">
      <formula>IF(AND(COUNTIF(MetalSmelter,B586&amp;C586)=0,LEN(C586)&gt;0),TRUE,FALSE)</formula>
    </cfRule>
  </conditionalFormatting>
  <conditionalFormatting sqref="D586:D2504">
    <cfRule type="expression" dxfId="65" priority="42" stopIfTrue="1">
      <formula>IF(AND(LEN($C586)&gt;0,($C586&lt;&gt;"Smelter Not Listed")),1,0)</formula>
    </cfRule>
    <cfRule type="expression" dxfId="64" priority="67" stopIfTrue="1">
      <formula>IF(AND(D586="",$C586=$X$4),TRUE)</formula>
    </cfRule>
    <cfRule type="expression" dxfId="63" priority="68" stopIfTrue="1">
      <formula>IF(FIND("!",D586),TRUE)</formula>
    </cfRule>
  </conditionalFormatting>
  <conditionalFormatting sqref="G586:G2504">
    <cfRule type="expression" dxfId="62" priority="69" stopIfTrue="1">
      <formula>IF(FIND("Enter smelter details",G586),TRUE)</formula>
    </cfRule>
  </conditionalFormatting>
  <conditionalFormatting sqref="R586:R2505 E586:E2504">
    <cfRule type="expression" dxfId="61" priority="55" stopIfTrue="1">
      <formula>IF(AND(E586="",$C586=$X$4),TRUE)</formula>
    </cfRule>
    <cfRule type="expression" dxfId="60" priority="56" stopIfTrue="1">
      <formula>IF(FIND("!",E586),TRUE)</formula>
    </cfRule>
  </conditionalFormatting>
  <conditionalFormatting sqref="F586:F2504">
    <cfRule type="expression" dxfId="59" priority="46" stopIfTrue="1">
      <formula>IF(AND(LEN($A586)&gt;0,$A586&lt;&gt;$F586),TRUE,FALSE)</formula>
    </cfRule>
  </conditionalFormatting>
  <conditionalFormatting sqref="C586:C2504">
    <cfRule type="expression" dxfId="58" priority="45" stopIfTrue="1">
      <formula>IF(AND(B586&lt;&gt;"",C586=""),TRUE)</formula>
    </cfRule>
  </conditionalFormatting>
  <conditionalFormatting sqref="B21:B585 B9:B19">
    <cfRule type="expression" dxfId="57" priority="24" stopIfTrue="1">
      <formula>IF(B9="",TRUE)</formula>
    </cfRule>
    <cfRule type="expression" dxfId="56" priority="27" stopIfTrue="1">
      <formula>IF(AND(COUNTIF(MetalSmelter,B9&amp;C9)=0,LEN(C9)&gt;0),TRUE,FALSE)</formula>
    </cfRule>
  </conditionalFormatting>
  <conditionalFormatting sqref="D9:D19 D21:D585">
    <cfRule type="expression" dxfId="55" priority="21" stopIfTrue="1">
      <formula>IF(AND(LEN($C9)&gt;0,($C9&lt;&gt;"Smelter Not Listed")),1,0)</formula>
    </cfRule>
    <cfRule type="expression" dxfId="54" priority="28" stopIfTrue="1">
      <formula>IF(AND(D9="",$C9=$X$4),TRUE)</formula>
    </cfRule>
    <cfRule type="expression" dxfId="53" priority="29" stopIfTrue="1">
      <formula>IF(FIND("!",D9),TRUE)</formula>
    </cfRule>
  </conditionalFormatting>
  <conditionalFormatting sqref="G9:G19 G21:G585">
    <cfRule type="expression" dxfId="52" priority="30" stopIfTrue="1">
      <formula>IF(FIND("Enter smelter details",G9),TRUE)</formula>
    </cfRule>
  </conditionalFormatting>
  <conditionalFormatting sqref="R5:R585 E9:E19 E21:E585">
    <cfRule type="expression" dxfId="51" priority="25" stopIfTrue="1">
      <formula>IF(AND(E5="",$C5=$X$4),TRUE)</formula>
    </cfRule>
    <cfRule type="expression" dxfId="50" priority="26" stopIfTrue="1">
      <formula>IF(FIND("!",E5),TRUE)</formula>
    </cfRule>
  </conditionalFormatting>
  <conditionalFormatting sqref="F9:F19 F21:F585">
    <cfRule type="expression" dxfId="49" priority="23" stopIfTrue="1">
      <formula>IF(AND(LEN($A9)&gt;0,$A9&lt;&gt;$F9),TRUE,FALSE)</formula>
    </cfRule>
  </conditionalFormatting>
  <conditionalFormatting sqref="C21:C585 C9:C19">
    <cfRule type="expression" dxfId="48" priority="22" stopIfTrue="1">
      <formula>IF(AND(B9&lt;&gt;"",C9=""),TRUE)</formula>
    </cfRule>
  </conditionalFormatting>
  <conditionalFormatting sqref="B20">
    <cfRule type="expression" dxfId="47" priority="14" stopIfTrue="1">
      <formula>IF(B20="",TRUE)</formula>
    </cfRule>
    <cfRule type="expression" dxfId="46" priority="17" stopIfTrue="1">
      <formula>IF(AND(COUNTIF(MetalSmelter,B20&amp;C20)=0,LEN(C20)&gt;0),TRUE,FALSE)</formula>
    </cfRule>
  </conditionalFormatting>
  <conditionalFormatting sqref="D20">
    <cfRule type="expression" dxfId="45" priority="11" stopIfTrue="1">
      <formula>IF(AND(LEN($C20)&gt;0,($C20&lt;&gt;"Smelter Not Listed")),1,0)</formula>
    </cfRule>
    <cfRule type="expression" dxfId="44" priority="18" stopIfTrue="1">
      <formula>IF(AND(D20="",$C20=$X$4),TRUE)</formula>
    </cfRule>
    <cfRule type="expression" dxfId="43" priority="19" stopIfTrue="1">
      <formula>IF(FIND("!",D20),TRUE)</formula>
    </cfRule>
  </conditionalFormatting>
  <conditionalFormatting sqref="G20">
    <cfRule type="expression" dxfId="42" priority="20" stopIfTrue="1">
      <formula>IF(FIND("Enter smelter details",G20),TRUE)</formula>
    </cfRule>
  </conditionalFormatting>
  <conditionalFormatting sqref="E20">
    <cfRule type="expression" dxfId="41" priority="15" stopIfTrue="1">
      <formula>IF(AND(E20="",$C20=$X$4),TRUE)</formula>
    </cfRule>
    <cfRule type="expression" dxfId="40" priority="16" stopIfTrue="1">
      <formula>IF(FIND("!",E20),TRUE)</formula>
    </cfRule>
  </conditionalFormatting>
  <conditionalFormatting sqref="F20">
    <cfRule type="expression" dxfId="39" priority="13" stopIfTrue="1">
      <formula>IF(AND(LEN($A20)&gt;0,$A20&lt;&gt;$F20),TRUE,FALSE)</formula>
    </cfRule>
  </conditionalFormatting>
  <conditionalFormatting sqref="C20">
    <cfRule type="expression" dxfId="38" priority="12" stopIfTrue="1">
      <formula>IF(AND(B20&lt;&gt;"",C20=""),TRUE)</formula>
    </cfRule>
  </conditionalFormatting>
  <conditionalFormatting sqref="B5:B8">
    <cfRule type="expression" dxfId="37" priority="4" stopIfTrue="1">
      <formula>IF(B5="",TRUE)</formula>
    </cfRule>
    <cfRule type="expression" dxfId="36" priority="7" stopIfTrue="1">
      <formula>IF(AND(COUNTIF(MetalSmelter,B5&amp;C5)=0,LEN(C5)&gt;0), TRUE, FALSE)</formula>
    </cfRule>
  </conditionalFormatting>
  <conditionalFormatting sqref="D5:D8">
    <cfRule type="expression" dxfId="35" priority="1" stopIfTrue="1">
      <formula>IF(AND(LEN($C5) &gt;0, ($C5 &lt;&gt; "Smelter Not Listed")),1,0)</formula>
    </cfRule>
    <cfRule type="expression" dxfId="34" priority="8" stopIfTrue="1">
      <formula>IF(AND(D5="",$C5=$X$4),TRUE)</formula>
    </cfRule>
    <cfRule type="expression" dxfId="33" priority="9" stopIfTrue="1">
      <formula>IF(FIND("!",D5),TRUE)</formula>
    </cfRule>
  </conditionalFormatting>
  <conditionalFormatting sqref="G5:G8">
    <cfRule type="expression" dxfId="32" priority="10" stopIfTrue="1">
      <formula>IF(FIND("Enter smelter details",G5),TRUE)</formula>
    </cfRule>
  </conditionalFormatting>
  <conditionalFormatting sqref="E5:E8">
    <cfRule type="expression" dxfId="31" priority="5" stopIfTrue="1">
      <formula>IF(AND(E5="",$C5=$X$4),TRUE)</formula>
    </cfRule>
    <cfRule type="expression" dxfId="30" priority="6" stopIfTrue="1">
      <formula>IF(FIND("!",E5),TRUE)</formula>
    </cfRule>
  </conditionalFormatting>
  <conditionalFormatting sqref="F5:F8">
    <cfRule type="expression" dxfId="29" priority="3" stopIfTrue="1">
      <formula>IF(AND(LEN($A5)&gt;0,$A5&lt;&gt;$F5),TRUE,FALSE)</formula>
    </cfRule>
  </conditionalFormatting>
  <conditionalFormatting sqref="C5:C8">
    <cfRule type="expression" dxfId="28"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8" sqref="D8"/>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Bead Electronics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David Brenton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dbrenton@beadindustries.com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203-301-0270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David Brenton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on@beadindustries.com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44396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6">
      <c r="A2" s="29"/>
      <c r="B2" s="147"/>
      <c r="C2" s="147"/>
      <c r="D2"/>
      <c r="E2" s="30"/>
    </row>
    <row r="3" spans="1:6">
      <c r="A3" s="29"/>
      <c r="B3" s="147"/>
      <c r="C3" s="147"/>
      <c r="D3" s="147"/>
      <c r="E3" s="30"/>
    </row>
    <row r="4" spans="1:6" ht="15.75" customHeight="1">
      <c r="A4" s="29"/>
      <c r="B4" s="455" t="s">
        <v>898</v>
      </c>
      <c r="C4" s="455"/>
      <c r="D4" s="455"/>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8" t="str">
        <f ca="1">OFFSET(L!$C$1,MATCH("General"&amp;"Cpy",L!$A:$A,0)-1,SL,,)</f>
        <v>© 2021 Responsible Minerals Initiative. All rights reserved.</v>
      </c>
      <c r="C1001" s="458"/>
      <c r="D1001" s="458"/>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Brenton</cp:lastModifiedBy>
  <cp:lastPrinted>2015-04-21T20:47:43Z</cp:lastPrinted>
  <dcterms:created xsi:type="dcterms:W3CDTF">2010-06-21T21:00:23Z</dcterms:created>
  <dcterms:modified xsi:type="dcterms:W3CDTF">2021-07-19T14:10:03Z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